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E733" lockStructure="1"/>
  <bookViews>
    <workbookView xWindow="-120" yWindow="-120" windowWidth="29040" windowHeight="15840"/>
  </bookViews>
  <sheets>
    <sheet name="Mon Entreprise" sheetId="1" r:id="rId1"/>
    <sheet name="Mes Aides" sheetId="3" r:id="rId2"/>
    <sheet name="Explication des Calculs" sheetId="4" r:id="rId3"/>
    <sheet name="Aides Compl &quot;coûts fixes&quot;" sheetId="5" r:id="rId4"/>
    <sheet name="Annexes" sheetId="2" state="hidden" r:id="rId5"/>
    <sheet name="Feuil2" sheetId="6" state="hidden"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5" l="1"/>
  <c r="L2" i="5"/>
  <c r="P35" i="5"/>
  <c r="AB382" i="4" l="1"/>
  <c r="AB381" i="4"/>
  <c r="AB380" i="4"/>
  <c r="AB379" i="4"/>
  <c r="AB378" i="4"/>
  <c r="AB365" i="4"/>
  <c r="AB384" i="4" s="1"/>
  <c r="AE356" i="4"/>
  <c r="AB356" i="4"/>
  <c r="Y356" i="4"/>
  <c r="AE354" i="4"/>
  <c r="AB354" i="4"/>
  <c r="Y354" i="4"/>
  <c r="AB318" i="4"/>
  <c r="AB317" i="4"/>
  <c r="AB316" i="4"/>
  <c r="AB315" i="4"/>
  <c r="AB314" i="4"/>
  <c r="AB301" i="4"/>
  <c r="AB320" i="4" s="1"/>
  <c r="AE290" i="4"/>
  <c r="AB290" i="4"/>
  <c r="Y290" i="4"/>
  <c r="AB259" i="4"/>
  <c r="AB258" i="4"/>
  <c r="AB257" i="4"/>
  <c r="AB256" i="4"/>
  <c r="AB255" i="4"/>
  <c r="AB254" i="4"/>
  <c r="AB241" i="4"/>
  <c r="AE233" i="4"/>
  <c r="AB233" i="4"/>
  <c r="Y233" i="4"/>
  <c r="AB203" i="4"/>
  <c r="AB202" i="4"/>
  <c r="AB201" i="4"/>
  <c r="AB200" i="4"/>
  <c r="AB199" i="4"/>
  <c r="AB187" i="4"/>
  <c r="AE179" i="4"/>
  <c r="AB179" i="4"/>
  <c r="Y179" i="4"/>
  <c r="AB149" i="4"/>
  <c r="AB148" i="4"/>
  <c r="AB147" i="4"/>
  <c r="AB146" i="4"/>
  <c r="AB134" i="4"/>
  <c r="AE126" i="4"/>
  <c r="AB126" i="4"/>
  <c r="Y126" i="4"/>
  <c r="D119" i="4"/>
  <c r="AB110" i="4"/>
  <c r="AB109" i="4"/>
  <c r="AB108" i="4"/>
  <c r="AB107" i="4"/>
  <c r="AB99" i="4"/>
  <c r="AE94" i="4"/>
  <c r="AB94" i="4"/>
  <c r="Y94" i="4"/>
  <c r="AB84" i="4"/>
  <c r="AB83" i="4"/>
  <c r="AB82" i="4"/>
  <c r="D80" i="4" s="1"/>
  <c r="AE78" i="4"/>
  <c r="AB78" i="4"/>
  <c r="Y78" i="4"/>
  <c r="AE77" i="4"/>
  <c r="AB77" i="4"/>
  <c r="Y77" i="4"/>
  <c r="E77" i="4"/>
  <c r="D76" i="4"/>
  <c r="D51" i="4"/>
  <c r="AB50" i="4"/>
  <c r="AB60" i="4" s="1"/>
  <c r="AB48" i="4"/>
  <c r="AB47" i="4"/>
  <c r="AE42" i="4"/>
  <c r="AB42" i="4"/>
  <c r="Y42" i="4"/>
  <c r="AB31" i="4"/>
  <c r="AB30" i="4"/>
  <c r="AB29" i="4"/>
  <c r="D29" i="4"/>
  <c r="E26" i="4"/>
  <c r="AE25" i="4"/>
  <c r="AB25" i="4"/>
  <c r="Y25" i="4"/>
  <c r="D25" i="4"/>
  <c r="AE24" i="4"/>
  <c r="AB24" i="4"/>
  <c r="Y24" i="4"/>
  <c r="AB380" i="3"/>
  <c r="AB316" i="3"/>
  <c r="E27" i="1"/>
  <c r="AB33" i="5"/>
  <c r="AB32" i="5"/>
  <c r="C115" i="5"/>
  <c r="C93" i="5"/>
  <c r="C71" i="5"/>
  <c r="C113" i="5"/>
  <c r="C91" i="5"/>
  <c r="C69" i="5"/>
  <c r="AB382" i="3"/>
  <c r="AB381" i="3"/>
  <c r="AB378" i="3"/>
  <c r="AB365" i="3"/>
  <c r="AB384" i="3" s="1"/>
  <c r="AB356" i="3"/>
  <c r="AE356" i="3"/>
  <c r="Y356" i="3"/>
  <c r="AE354" i="3"/>
  <c r="AB354" i="3"/>
  <c r="Y354" i="3"/>
  <c r="I111" i="1"/>
  <c r="E109" i="1"/>
  <c r="E108" i="1"/>
  <c r="F111" i="1"/>
  <c r="E107" i="1"/>
  <c r="I118" i="1"/>
  <c r="AB292" i="3" s="1"/>
  <c r="F118" i="1"/>
  <c r="E116" i="1"/>
  <c r="E115" i="1"/>
  <c r="E114" i="1"/>
  <c r="AB379" i="3"/>
  <c r="AE292" i="4" l="1"/>
  <c r="Y292" i="4"/>
  <c r="AB292" i="4"/>
  <c r="D56" i="4"/>
  <c r="AB62" i="4"/>
  <c r="C110" i="5"/>
  <c r="C49" i="5"/>
  <c r="G35" i="5" l="1"/>
  <c r="AB257" i="3" l="1"/>
  <c r="AB256" i="3"/>
  <c r="C47" i="5"/>
  <c r="AB318" i="3"/>
  <c r="AB187" i="3"/>
  <c r="AB241" i="3"/>
  <c r="AB301" i="3"/>
  <c r="AB320" i="3" s="1"/>
  <c r="AB317" i="3"/>
  <c r="AB315" i="3"/>
  <c r="AB314" i="3"/>
  <c r="AE290" i="3"/>
  <c r="AB290" i="3"/>
  <c r="Y290" i="3"/>
  <c r="AB258" i="3"/>
  <c r="I125" i="1"/>
  <c r="E123" i="1"/>
  <c r="I132" i="1"/>
  <c r="E117" i="1"/>
  <c r="F125" i="1"/>
  <c r="E124" i="1"/>
  <c r="E122" i="1"/>
  <c r="E121" i="1"/>
  <c r="E50" i="1"/>
  <c r="AB128" i="4" l="1"/>
  <c r="Y128" i="4"/>
  <c r="AE128" i="4"/>
  <c r="AB235" i="3"/>
  <c r="AE235" i="4"/>
  <c r="AE181" i="4"/>
  <c r="AB235" i="4"/>
  <c r="AB181" i="4"/>
  <c r="Y235" i="4"/>
  <c r="Y181" i="4"/>
  <c r="C88" i="5"/>
  <c r="AE292" i="3"/>
  <c r="Y292" i="3"/>
  <c r="M73" i="1" l="1"/>
  <c r="I73" i="1"/>
  <c r="F73" i="1"/>
  <c r="M35" i="5"/>
  <c r="V35" i="5"/>
  <c r="S35" i="5"/>
  <c r="J35" i="5"/>
  <c r="C73" i="5" s="1"/>
  <c r="L8" i="5"/>
  <c r="I93" i="1" l="1"/>
  <c r="Y355" i="4"/>
  <c r="AB366" i="4" s="1"/>
  <c r="Y291" i="4"/>
  <c r="AB302" i="4" s="1"/>
  <c r="AB234" i="4"/>
  <c r="AB180" i="4"/>
  <c r="Y127" i="4"/>
  <c r="AB135" i="4" s="1"/>
  <c r="Y95" i="4"/>
  <c r="AB43" i="4"/>
  <c r="Y234" i="4"/>
  <c r="AB242" i="4" s="1"/>
  <c r="Y180" i="4"/>
  <c r="AB188" i="4" s="1"/>
  <c r="Y43" i="4"/>
  <c r="AE355" i="4"/>
  <c r="AE291" i="4"/>
  <c r="AE127" i="4"/>
  <c r="AE95" i="4"/>
  <c r="AB355" i="4"/>
  <c r="AB291" i="4"/>
  <c r="AE234" i="4"/>
  <c r="AE180" i="4"/>
  <c r="AB127" i="4"/>
  <c r="AB95" i="4"/>
  <c r="AE43" i="4"/>
  <c r="AB376" i="4"/>
  <c r="AB312" i="4"/>
  <c r="AB145" i="4"/>
  <c r="AB252" i="4"/>
  <c r="AB198" i="4"/>
  <c r="C117" i="5"/>
  <c r="C95" i="5"/>
  <c r="AB376" i="3"/>
  <c r="AE355" i="3"/>
  <c r="AB355" i="3"/>
  <c r="Y355" i="3"/>
  <c r="AB366" i="3" s="1"/>
  <c r="AB291" i="3"/>
  <c r="C51" i="5"/>
  <c r="AE291" i="3"/>
  <c r="AB252" i="3"/>
  <c r="AB312" i="3"/>
  <c r="AB198" i="3"/>
  <c r="Y291" i="3"/>
  <c r="AB302" i="3" s="1"/>
  <c r="D149" i="4" l="1"/>
  <c r="D163" i="4"/>
  <c r="AB137" i="4"/>
  <c r="AB136" i="4"/>
  <c r="AB151" i="4"/>
  <c r="D136" i="4"/>
  <c r="AB150" i="4"/>
  <c r="AB153" i="4"/>
  <c r="D402" i="4"/>
  <c r="AB367" i="4"/>
  <c r="D383" i="4"/>
  <c r="D384" i="4"/>
  <c r="D366" i="4"/>
  <c r="D367" i="4"/>
  <c r="AB388" i="4"/>
  <c r="AB386" i="4"/>
  <c r="D401" i="4"/>
  <c r="AB385" i="4"/>
  <c r="AB368" i="4"/>
  <c r="AB244" i="4"/>
  <c r="D259" i="4"/>
  <c r="D275" i="4"/>
  <c r="AB261" i="4"/>
  <c r="AB263" i="4"/>
  <c r="D244" i="4"/>
  <c r="AB243" i="4"/>
  <c r="AB260" i="4"/>
  <c r="AB311" i="4"/>
  <c r="AB310" i="4"/>
  <c r="AB196" i="4"/>
  <c r="AB197" i="4"/>
  <c r="AB143" i="4"/>
  <c r="AB144" i="4"/>
  <c r="AB375" i="4"/>
  <c r="AB374" i="4"/>
  <c r="AB303" i="4"/>
  <c r="D338" i="4"/>
  <c r="D319" i="4"/>
  <c r="D302" i="4"/>
  <c r="D337" i="4"/>
  <c r="D303" i="4"/>
  <c r="AB324" i="4"/>
  <c r="AB304" i="4"/>
  <c r="AB322" i="4"/>
  <c r="AB321" i="4"/>
  <c r="D320" i="4"/>
  <c r="AB251" i="4"/>
  <c r="AB250" i="4"/>
  <c r="D192" i="4"/>
  <c r="D205" i="4"/>
  <c r="AB189" i="4"/>
  <c r="AB207" i="4"/>
  <c r="D219" i="4"/>
  <c r="AB205" i="4"/>
  <c r="AB190" i="4"/>
  <c r="AB204" i="4"/>
  <c r="C114" i="5"/>
  <c r="C92" i="5"/>
  <c r="C70" i="5"/>
  <c r="D302" i="3"/>
  <c r="AB374" i="3"/>
  <c r="AB375" i="3"/>
  <c r="AB388" i="3"/>
  <c r="AB367" i="3"/>
  <c r="AB386" i="3"/>
  <c r="AB368" i="3"/>
  <c r="C116" i="5" s="1"/>
  <c r="AB385" i="3"/>
  <c r="D367" i="3"/>
  <c r="D402" i="3"/>
  <c r="D384" i="3"/>
  <c r="D401" i="3"/>
  <c r="D383" i="3"/>
  <c r="D366" i="3"/>
  <c r="D303" i="3"/>
  <c r="AB310" i="3"/>
  <c r="AB311" i="3"/>
  <c r="D320" i="3"/>
  <c r="D338" i="3"/>
  <c r="C48" i="5"/>
  <c r="D337" i="3"/>
  <c r="AB322" i="3"/>
  <c r="AB304" i="3"/>
  <c r="C94" i="5" s="1"/>
  <c r="AB303" i="3"/>
  <c r="D319" i="3"/>
  <c r="AB324" i="3"/>
  <c r="AB321" i="3"/>
  <c r="AB400" i="3" l="1"/>
  <c r="AB387" i="3"/>
  <c r="D276" i="4"/>
  <c r="D167" i="4"/>
  <c r="D164" i="4"/>
  <c r="D150" i="4"/>
  <c r="AB162" i="4"/>
  <c r="AB152" i="4"/>
  <c r="AB154" i="4" s="1"/>
  <c r="D246" i="4"/>
  <c r="AB271" i="4"/>
  <c r="D388" i="4"/>
  <c r="AB399" i="4"/>
  <c r="D404" i="4"/>
  <c r="AB400" i="4"/>
  <c r="D407" i="4"/>
  <c r="C119" i="5"/>
  <c r="D260" i="4"/>
  <c r="AB262" i="4"/>
  <c r="AB264" i="4" s="1"/>
  <c r="D279" i="4"/>
  <c r="AB273" i="4"/>
  <c r="D324" i="4"/>
  <c r="AB335" i="4"/>
  <c r="AB336" i="4"/>
  <c r="D343" i="4"/>
  <c r="D340" i="4"/>
  <c r="D386" i="4"/>
  <c r="AB387" i="4"/>
  <c r="AB389" i="4" s="1"/>
  <c r="D262" i="4"/>
  <c r="AB272" i="4"/>
  <c r="D370" i="4"/>
  <c r="AB398" i="4"/>
  <c r="AB160" i="4"/>
  <c r="D138" i="4"/>
  <c r="AB214" i="4"/>
  <c r="D194" i="4"/>
  <c r="D306" i="4"/>
  <c r="AB334" i="4"/>
  <c r="D206" i="4"/>
  <c r="AB216" i="4"/>
  <c r="D220" i="4"/>
  <c r="AB206" i="4"/>
  <c r="AB208" i="4" s="1"/>
  <c r="D223" i="4"/>
  <c r="AB215" i="4"/>
  <c r="D208" i="4"/>
  <c r="AB323" i="4"/>
  <c r="AB325" i="4" s="1"/>
  <c r="D322" i="4"/>
  <c r="D152" i="4"/>
  <c r="AB161" i="4"/>
  <c r="AB323" i="3"/>
  <c r="AB325" i="3" s="1"/>
  <c r="D324" i="3" s="1"/>
  <c r="AD30" i="5"/>
  <c r="AD31" i="5"/>
  <c r="C97" i="5"/>
  <c r="D407" i="3"/>
  <c r="AB389" i="3"/>
  <c r="AB398" i="3"/>
  <c r="D370" i="3"/>
  <c r="D404" i="3"/>
  <c r="D306" i="3"/>
  <c r="D343" i="3"/>
  <c r="AB334" i="3"/>
  <c r="AB336" i="3"/>
  <c r="D340" i="3"/>
  <c r="D235" i="4" l="1"/>
  <c r="D183" i="4"/>
  <c r="D291" i="4"/>
  <c r="D355" i="4"/>
  <c r="D127" i="4"/>
  <c r="D171" i="4"/>
  <c r="D388" i="3"/>
  <c r="D386" i="3"/>
  <c r="AB399" i="3"/>
  <c r="D355" i="3" s="1"/>
  <c r="AB335" i="3"/>
  <c r="D291" i="3" s="1"/>
  <c r="E128" i="1"/>
  <c r="E25" i="1"/>
  <c r="F132" i="1" l="1"/>
  <c r="I139" i="1"/>
  <c r="F139" i="1"/>
  <c r="E137" i="1"/>
  <c r="E136" i="1"/>
  <c r="AB259" i="3"/>
  <c r="AB255" i="3"/>
  <c r="AB254" i="3"/>
  <c r="C66" i="5" s="1"/>
  <c r="AE233" i="3"/>
  <c r="AB233" i="3"/>
  <c r="Y233" i="3"/>
  <c r="J93" i="1"/>
  <c r="AB96" i="4" l="1"/>
  <c r="AE44" i="4"/>
  <c r="Y96" i="4"/>
  <c r="AB44" i="4"/>
  <c r="Y44" i="4"/>
  <c r="AE96" i="4"/>
  <c r="AE235" i="3"/>
  <c r="Y235" i="3"/>
  <c r="E135" i="1"/>
  <c r="E129" i="1"/>
  <c r="D54" i="4" l="1"/>
  <c r="D66" i="4"/>
  <c r="AB51" i="4"/>
  <c r="AB55" i="4"/>
  <c r="AB52" i="4"/>
  <c r="AB112" i="4"/>
  <c r="D112" i="4"/>
  <c r="AB111" i="4"/>
  <c r="AB100" i="4"/>
  <c r="D100" i="4"/>
  <c r="AB101" i="4"/>
  <c r="AB114" i="4"/>
  <c r="AB202" i="3"/>
  <c r="AB203" i="3"/>
  <c r="AB201" i="3"/>
  <c r="AB200" i="3"/>
  <c r="D119" i="3"/>
  <c r="D69" i="4" l="1"/>
  <c r="AB61" i="4"/>
  <c r="D42" i="4" s="1"/>
  <c r="AB117" i="4"/>
  <c r="D92" i="4" s="1"/>
  <c r="D102" i="4"/>
  <c r="AB118" i="4"/>
  <c r="D115" i="4"/>
  <c r="AB148" i="3"/>
  <c r="AB108" i="3" l="1"/>
  <c r="E155" i="1" l="1"/>
  <c r="E72" i="1" l="1"/>
  <c r="E105" i="1"/>
  <c r="E158" i="1" l="1"/>
  <c r="F157" i="1"/>
  <c r="I157" i="1"/>
  <c r="E144" i="1"/>
  <c r="E130" i="1"/>
  <c r="AB181" i="3" l="1"/>
  <c r="AE181" i="3"/>
  <c r="Y181" i="3"/>
  <c r="AB179" i="3"/>
  <c r="AE179" i="3"/>
  <c r="Y179" i="3"/>
  <c r="AB199" i="3"/>
  <c r="C44" i="5" s="1"/>
  <c r="AB147" i="3"/>
  <c r="E156" i="1"/>
  <c r="I153" i="1"/>
  <c r="F153" i="1"/>
  <c r="E151" i="1"/>
  <c r="E22" i="1"/>
  <c r="AB106" i="4" l="1"/>
  <c r="E110" i="4" s="1"/>
  <c r="AB46" i="4"/>
  <c r="AB146" i="3"/>
  <c r="D52" i="4" l="1"/>
  <c r="AB49" i="4"/>
  <c r="D64" i="4"/>
  <c r="D67" i="4"/>
  <c r="AB53" i="4"/>
  <c r="AB54" i="4"/>
  <c r="AB56" i="4" s="1"/>
  <c r="AB113" i="4"/>
  <c r="AB115" i="4" s="1"/>
  <c r="D113" i="4"/>
  <c r="AE234" i="3"/>
  <c r="AB234" i="3"/>
  <c r="Y234" i="3"/>
  <c r="AB242" i="3" s="1"/>
  <c r="AB145" i="3"/>
  <c r="AB106" i="3"/>
  <c r="AE180" i="3"/>
  <c r="AB180" i="3"/>
  <c r="AB189" i="3" s="1"/>
  <c r="Y180" i="3"/>
  <c r="AB188" i="3" s="1"/>
  <c r="E161" i="4" l="1"/>
  <c r="E256" i="4"/>
  <c r="E147" i="4"/>
  <c r="E272" i="4"/>
  <c r="E217" i="4"/>
  <c r="E316" i="4"/>
  <c r="E203" i="4"/>
  <c r="E334" i="4"/>
  <c r="E398" i="4"/>
  <c r="E380" i="4"/>
  <c r="E380" i="3"/>
  <c r="E398" i="3"/>
  <c r="E316" i="3"/>
  <c r="E334" i="3"/>
  <c r="AB197" i="3"/>
  <c r="AB196" i="3"/>
  <c r="AB251" i="3"/>
  <c r="AB250" i="3"/>
  <c r="AB243" i="3"/>
  <c r="D259" i="3"/>
  <c r="D244" i="3"/>
  <c r="D275" i="3"/>
  <c r="AB244" i="3"/>
  <c r="AB261" i="3"/>
  <c r="AB263" i="3"/>
  <c r="AB260" i="3"/>
  <c r="AB205" i="3"/>
  <c r="AB207" i="3"/>
  <c r="AB204" i="3"/>
  <c r="D205" i="3"/>
  <c r="D219" i="3"/>
  <c r="AB190" i="3"/>
  <c r="C50" i="5" s="1"/>
  <c r="AD28" i="5" s="1"/>
  <c r="AB28" i="5" s="1"/>
  <c r="D192" i="3"/>
  <c r="D246" i="3" l="1"/>
  <c r="C72" i="5"/>
  <c r="D260" i="3"/>
  <c r="D279" i="3"/>
  <c r="E256" i="3"/>
  <c r="E272" i="3"/>
  <c r="C53" i="5"/>
  <c r="AB271" i="3"/>
  <c r="D194" i="3"/>
  <c r="AB214" i="3"/>
  <c r="E48" i="1"/>
  <c r="E45" i="1"/>
  <c r="AD29" i="5" l="1"/>
  <c r="AB29" i="5" s="1"/>
  <c r="C75" i="5"/>
  <c r="AB134" i="3"/>
  <c r="AC28" i="5" l="1"/>
  <c r="C58" i="5" s="1"/>
  <c r="AB107" i="3"/>
  <c r="AB48" i="3"/>
  <c r="AB47" i="3"/>
  <c r="E94" i="1"/>
  <c r="AC29" i="5" l="1"/>
  <c r="AB30" i="5" s="1"/>
  <c r="AE127" i="3"/>
  <c r="AE128" i="3"/>
  <c r="Y128" i="3"/>
  <c r="AB128" i="3"/>
  <c r="Y96" i="3"/>
  <c r="C80" i="5" l="1"/>
  <c r="AC30" i="5"/>
  <c r="AB31" i="5" s="1"/>
  <c r="AE94" i="3"/>
  <c r="C102" i="5" l="1"/>
  <c r="AC31" i="5"/>
  <c r="AB273" i="3"/>
  <c r="AB149" i="3"/>
  <c r="AB110" i="3"/>
  <c r="AB109" i="3"/>
  <c r="AB126" i="3"/>
  <c r="AB99" i="3"/>
  <c r="AE126" i="3"/>
  <c r="Y126" i="3"/>
  <c r="AC32" i="5" l="1"/>
  <c r="AC33" i="5" s="1"/>
  <c r="C124" i="5"/>
  <c r="AB262" i="3"/>
  <c r="AB264" i="3" s="1"/>
  <c r="D276" i="3"/>
  <c r="E84" i="1"/>
  <c r="E81" i="1"/>
  <c r="E85" i="1"/>
  <c r="E82" i="1"/>
  <c r="AB272" i="3" l="1"/>
  <c r="D235" i="3" s="1"/>
  <c r="D262" i="3"/>
  <c r="F141" i="1"/>
  <c r="F140" i="1" l="1"/>
  <c r="AB83" i="3"/>
  <c r="Z47" i="2" l="1"/>
  <c r="AB94" i="3"/>
  <c r="Y94" i="3"/>
  <c r="AB84" i="3"/>
  <c r="AB82" i="3"/>
  <c r="AE78" i="3"/>
  <c r="AB78" i="3"/>
  <c r="Y78" i="3"/>
  <c r="AE77" i="3"/>
  <c r="AB77" i="3"/>
  <c r="Y77" i="3"/>
  <c r="E77" i="3"/>
  <c r="D76" i="3"/>
  <c r="D51" i="3"/>
  <c r="AB50" i="3"/>
  <c r="AE42" i="3"/>
  <c r="AB42" i="3"/>
  <c r="Y42" i="3"/>
  <c r="AB31" i="3"/>
  <c r="AB30" i="3"/>
  <c r="AB29" i="3"/>
  <c r="E26" i="3"/>
  <c r="AE25" i="3"/>
  <c r="AB25" i="3"/>
  <c r="Y25" i="3"/>
  <c r="D25" i="3"/>
  <c r="AE24" i="3"/>
  <c r="AB24" i="3"/>
  <c r="Y24" i="3"/>
  <c r="I148" i="1"/>
  <c r="F148" i="1"/>
  <c r="E146" i="1"/>
  <c r="E145" i="1"/>
  <c r="I140" i="1"/>
  <c r="AB127" i="3"/>
  <c r="AB136" i="3" s="1"/>
  <c r="J71" i="1"/>
  <c r="Y26" i="4" l="1"/>
  <c r="AE26" i="4"/>
  <c r="AB26" i="4"/>
  <c r="AB137" i="3"/>
  <c r="D149" i="3"/>
  <c r="D163" i="3"/>
  <c r="AB151" i="3"/>
  <c r="AB150" i="3"/>
  <c r="AB26" i="3"/>
  <c r="AB32" i="3" s="1"/>
  <c r="D29" i="3" s="1"/>
  <c r="D136" i="3"/>
  <c r="Y127" i="3"/>
  <c r="Y95" i="3"/>
  <c r="AB96" i="3"/>
  <c r="AE96" i="3"/>
  <c r="I141" i="1"/>
  <c r="Y26" i="3"/>
  <c r="AE26" i="3"/>
  <c r="AB44" i="3"/>
  <c r="AE44" i="3"/>
  <c r="Y44" i="3"/>
  <c r="AE43" i="3"/>
  <c r="AB95" i="3"/>
  <c r="AE95" i="3"/>
  <c r="Y43" i="3"/>
  <c r="AB43" i="3"/>
  <c r="AE79" i="4" l="1"/>
  <c r="AB79" i="4"/>
  <c r="Y79" i="4"/>
  <c r="AB32" i="4"/>
  <c r="D27" i="4"/>
  <c r="AB153" i="3"/>
  <c r="AB135" i="3"/>
  <c r="AB101" i="3"/>
  <c r="D138" i="3"/>
  <c r="AB160" i="3"/>
  <c r="AB46" i="3"/>
  <c r="D52" i="3" s="1"/>
  <c r="D27" i="3"/>
  <c r="AB100" i="3"/>
  <c r="D66" i="3"/>
  <c r="D54" i="3"/>
  <c r="AB114" i="3"/>
  <c r="D100" i="3"/>
  <c r="AB112" i="3"/>
  <c r="AB111" i="3"/>
  <c r="D112" i="3"/>
  <c r="AB55" i="3"/>
  <c r="Y79" i="3"/>
  <c r="AB79" i="3"/>
  <c r="AE79" i="3"/>
  <c r="AB52" i="3"/>
  <c r="AB51" i="3"/>
  <c r="D78" i="4" l="1"/>
  <c r="AB85" i="4"/>
  <c r="AB144" i="3"/>
  <c r="AB143" i="3"/>
  <c r="D164" i="3" s="1"/>
  <c r="D223" i="3"/>
  <c r="AB216" i="3"/>
  <c r="E217" i="3"/>
  <c r="AB206" i="3"/>
  <c r="AB208" i="3" s="1"/>
  <c r="E203" i="3"/>
  <c r="D220" i="3"/>
  <c r="D67" i="3"/>
  <c r="AB54" i="3"/>
  <c r="AB113" i="3"/>
  <c r="AB115" i="3" s="1"/>
  <c r="D115" i="3" s="1"/>
  <c r="E110" i="3"/>
  <c r="D102" i="3"/>
  <c r="AB117" i="3"/>
  <c r="D78" i="3"/>
  <c r="AB53" i="3"/>
  <c r="AB85" i="3"/>
  <c r="D80" i="3" s="1"/>
  <c r="AB49" i="3"/>
  <c r="D56" i="3" s="1"/>
  <c r="D64" i="3"/>
  <c r="D322" i="3" l="1"/>
  <c r="AB60" i="3"/>
  <c r="AB215" i="3"/>
  <c r="D183" i="3" s="1"/>
  <c r="D208" i="3"/>
  <c r="AB162" i="3"/>
  <c r="E161" i="3"/>
  <c r="E147" i="3"/>
  <c r="AB152" i="3"/>
  <c r="AB154" i="3" s="1"/>
  <c r="D113" i="3"/>
  <c r="AB118" i="3"/>
  <c r="D92" i="3" s="1"/>
  <c r="AB56" i="3"/>
  <c r="D69" i="3" s="1"/>
  <c r="AB62" i="3"/>
  <c r="D206" i="3" l="1"/>
  <c r="D152" i="3"/>
  <c r="AB161" i="3"/>
  <c r="D150" i="3"/>
  <c r="AB61" i="3"/>
  <c r="D42" i="3" s="1"/>
  <c r="D171" i="3" l="1"/>
  <c r="D127" i="3"/>
  <c r="D167" i="3"/>
</calcChain>
</file>

<file path=xl/sharedStrings.xml><?xml version="1.0" encoding="utf-8"?>
<sst xmlns="http://schemas.openxmlformats.org/spreadsheetml/2006/main" count="1138" uniqueCount="458">
  <si>
    <t>Annexe 1 :</t>
  </si>
  <si>
    <t>Annexe 2 :</t>
  </si>
  <si>
    <t>Jour en Septembre</t>
  </si>
  <si>
    <t>Jour en Octobre</t>
  </si>
  <si>
    <t>Perte de chiffre d'affaire entre le 15/03/2020 et le 15/05/2020 :</t>
  </si>
  <si>
    <t>Date pour les créations d'entreprise</t>
  </si>
  <si>
    <t>CA de référence</t>
  </si>
  <si>
    <t xml:space="preserve"> </t>
  </si>
  <si>
    <t>L'activité est mentionnées en annexe 1 :</t>
  </si>
  <si>
    <t>L'activité est mentionnées en annexe 2 :</t>
  </si>
  <si>
    <t>Septembre</t>
  </si>
  <si>
    <t>Octobre</t>
  </si>
  <si>
    <t>Fermeture Administrative</t>
  </si>
  <si>
    <t>Nb de jour de fermeture Administrative</t>
  </si>
  <si>
    <t>Nom de l'entreprise :</t>
  </si>
  <si>
    <t>Date de création de l'entreprise :</t>
  </si>
  <si>
    <t>- Octobre :</t>
  </si>
  <si>
    <t>- Novembre :</t>
  </si>
  <si>
    <t>- Du 15 Mars au 15 Mai :</t>
  </si>
  <si>
    <t>Aides du fonds de solidarité du mois de Septembre :</t>
  </si>
  <si>
    <t>Calculs des pertes de CA selon :</t>
  </si>
  <si>
    <t>De septembre 2019 :</t>
  </si>
  <si>
    <t>En cas de création :</t>
  </si>
  <si>
    <t>Perte en €</t>
  </si>
  <si>
    <t>Perte en %</t>
  </si>
  <si>
    <t>De l'exercice 2019  :</t>
  </si>
  <si>
    <t>Pré-requis pour les entreprises nouvelles : avoir débuté son activité avant le 30 Septembre 2020</t>
  </si>
  <si>
    <t>De octobre 2019 :</t>
  </si>
  <si>
    <t>* Fermeture administrative du 25 au 30 Septembre 2020 :</t>
  </si>
  <si>
    <t>D'octobre 2019 :</t>
  </si>
  <si>
    <t>Aides du fonds de solidarité du mois de Novembre :</t>
  </si>
  <si>
    <t>Aides du fonds de solidarité du mois d'Octobre :</t>
  </si>
  <si>
    <t xml:space="preserve">Zone de calcul à masquer </t>
  </si>
  <si>
    <t xml:space="preserve">(Sauf Septembre pour les seuls secteurs figurant en Annexes 1 &amp; 2 dans la version au 30/09/2020 du décret 2020-371 du 30 Mars 2020) </t>
  </si>
  <si>
    <t>Ces aides prévues aux articles 3-10, 3-11 et 3-12 ne sont pas cumulables au titre du mois d'octobre 2020.</t>
  </si>
  <si>
    <t>- Encaissé pour les BNC (sauf option Créances-Dettes)</t>
  </si>
  <si>
    <t>Pré-requis pour les entreprises nouvelles : avoir débuté son activité avant le 31 Août 2020</t>
  </si>
  <si>
    <t>* champs obligatoires (sauf si 0 €)</t>
  </si>
  <si>
    <t>Notice :</t>
  </si>
  <si>
    <t>(Activité non mentionnée dans l'annexe 1)</t>
  </si>
  <si>
    <t>(Activité non mentionnée dans l'annexe 2)</t>
  </si>
  <si>
    <t>Chiffre d’Affaires (HT) à retenir :</t>
  </si>
  <si>
    <t>au format jj/mm/aaaa</t>
  </si>
  <si>
    <t>Chiffres d'affaires :</t>
  </si>
  <si>
    <t>Vous pouvez, à la place du CA moyen, compléter vos CA réels des
périodes demandées, en 2019:</t>
  </si>
  <si>
    <t xml:space="preserve">Pensez bien </t>
  </si>
  <si>
    <t>à cocher</t>
  </si>
  <si>
    <t xml:space="preserve">l'une, ou </t>
  </si>
  <si>
    <t>plusieurs,</t>
  </si>
  <si>
    <t>de ces cases</t>
  </si>
  <si>
    <t>Seules les cases en jaune peuvent être complétées</t>
  </si>
  <si>
    <t>Nombre de jours de fermeture administrative entre le 25/09/2020 et le 31/10/2020 :</t>
  </si>
  <si>
    <t>Par simplification (autorisée), nous vous proposons de déterminer le CA mensuel moyen 2019 à partir du CA total de 2019</t>
  </si>
  <si>
    <t>L'activité fait-elle partie de celles énumérées dans les annexes des décrets ? Choisissez….</t>
  </si>
  <si>
    <t>- Facturé pour les BIC/BA/IS</t>
  </si>
  <si>
    <t>PROFESSION :</t>
  </si>
  <si>
    <t>Activités mentionnée à l'Annexe 2 (S1 bis) :</t>
  </si>
  <si>
    <t>Activités mentionnée à l'Annexe 1 (S1) :</t>
  </si>
  <si>
    <t>À cocher en cas d'activité impactée par le couvre-feu (21h - 6 h en Octobre 2020)</t>
  </si>
  <si>
    <t>(new*) : Activité ajoutée sur le Décret 2020-1328 du 2 Novembre 2020</t>
  </si>
  <si>
    <t>Chiffre d'affaires au cours de la période d'interdiction d'accueil du public :</t>
  </si>
  <si>
    <t>Chiffre d'affaires au cours de la même période en 2019 :</t>
  </si>
  <si>
    <t>* Aide de 1 500 € maximum en cas de perte d'au-moins 50 % du CA de Novembre 2020</t>
  </si>
  <si>
    <t>* Aide de 333 € maximum journalier, en cas de Fermeture Administrative au mois d'octobre</t>
  </si>
  <si>
    <t>À cocher en cas de fermeture administrative de Septembre à Octobre :</t>
  </si>
  <si>
    <t>SEULES LES ENTREPRISES DE MOINS DE 50 SALARIÉS PEUVENT EN BÉNÉFICIER :</t>
  </si>
  <si>
    <t>- Notre FAQ sur le sujet (lien ici)</t>
  </si>
  <si>
    <t>Pour plus d'informations :</t>
  </si>
  <si>
    <r>
      <t xml:space="preserve">Selon les éléments renseignés à l'onglet « Mon entreprise », voici le résultat de l'étude </t>
    </r>
    <r>
      <rPr>
        <b/>
        <sz val="11"/>
        <color rgb="FF0D4174"/>
        <rFont val="Wingdings"/>
        <charset val="2"/>
      </rPr>
      <t>J</t>
    </r>
  </si>
  <si>
    <t>Attention, ce fichier est effectué par nos soins mais ne saurait engager notre responsabilité.</t>
  </si>
  <si>
    <t>- Notion de fermeture administrative définie au décret 2020-1310 du 29/10/2020 (lien ici)</t>
  </si>
  <si>
    <t>Plafond en zone de couvre feu :</t>
  </si>
  <si>
    <t>Date de création :</t>
  </si>
  <si>
    <t>Plafond hors zone de couvre feu :</t>
  </si>
  <si>
    <t>Ticket modérateur :</t>
  </si>
  <si>
    <t>Aide couvre feu montant :</t>
  </si>
  <si>
    <t>Aide hors couvre feu montant :</t>
  </si>
  <si>
    <t>Aide fermeture administrative :</t>
  </si>
  <si>
    <t>Nombre de jour de fermeture :</t>
  </si>
  <si>
    <t>Fermeture administrative :</t>
  </si>
  <si>
    <t>CA de référence :</t>
  </si>
  <si>
    <t>Aide de 10 000 € max :</t>
  </si>
  <si>
    <t>Aide de 1 500 € max :</t>
  </si>
  <si>
    <t xml:space="preserve">      Aide cumulable avec le fond de solidarité du mois de Septembre 2020 (décret 2020-371 Articles 3-7 ou 3-9)</t>
  </si>
  <si>
    <t>Perte de référence en € :</t>
  </si>
  <si>
    <t>Perte de référence en % :</t>
  </si>
  <si>
    <t>Le couvre-feu concerne les entreprises listées à l’art. 51 du Décret 2020-1262 du 16 Octobre 2020</t>
  </si>
  <si>
    <t>Année 2019</t>
  </si>
  <si>
    <t>Année 2020</t>
  </si>
  <si>
    <t>Perte de référence :</t>
  </si>
  <si>
    <t xml:space="preserve">Mes Commentaires : </t>
  </si>
  <si>
    <t>Novembre</t>
  </si>
  <si>
    <t>Couvre feu</t>
  </si>
  <si>
    <t>Décembre</t>
  </si>
  <si>
    <t>- Décembre :</t>
  </si>
  <si>
    <t>Aides du fonds de solidarité du mois de Décembre :</t>
  </si>
  <si>
    <t>Ces aides prévues à l'article 3-14 ne sont pas cumulables au titre du mois de Novembre 2020</t>
  </si>
  <si>
    <t>Ces aides prévues aux articles 3-10, 3-11 et 3-12 ne sont pas cumulables au titre du mois d'octobre 2020</t>
  </si>
  <si>
    <t>De Novembre2019 :</t>
  </si>
  <si>
    <t>De Décembre 2019 :</t>
  </si>
  <si>
    <t>* Aide de 1 500 € maximum en cas de perte d'au-moins 50 % du CA de Décembre 2020</t>
  </si>
  <si>
    <t>* Aide de 10 000 € maximum en cas de fermeture Administrative, ou avoir une perte d'au moins 50 % et être l'une des activités mentionnées en annexe 1 ,ou en annexe 2 mais avec une perte de CA d'au moins 80 % entre le 15/03/2020 et le 15/05/2020</t>
  </si>
  <si>
    <t>Perte de chiffre d'affaire au mois de Novembre :</t>
  </si>
  <si>
    <t>Plafond</t>
  </si>
  <si>
    <t>Perte et ticket modérateur :</t>
  </si>
  <si>
    <t>de</t>
  </si>
  <si>
    <t>à</t>
  </si>
  <si>
    <t>(new**) : Activité ajoutée sur le Décret 2020-1620 du 19 Décembre 2020</t>
  </si>
  <si>
    <t>(new**) Magasins de souvenirs et de piété</t>
  </si>
  <si>
    <t>Perte de chiffre d'affaire entre 2019 et 2020 :</t>
  </si>
  <si>
    <t xml:space="preserve"> - CA TOTAL :</t>
  </si>
  <si>
    <t>Annexe 3</t>
  </si>
  <si>
    <t>* Aide de 10 000 € maximum en cas de fermeture Administrative, ou avoir une perte d'au moins 50 % et être l'une des activités mentionnées en annexe 1, ou en annexe 2 ou 3 mais avec une perte de CA d'au moins 80 % entre le 15/03/2020 et le 15/05/2020 ou au mois de Novembre 2020 ou une perte de 10 % entre 2019 et 2020</t>
  </si>
  <si>
    <t>L'activité est mentionnées en annexe 2 ou 3 :</t>
  </si>
  <si>
    <t>* Aide de 15 à 20 % du CA maximum en cas de fermeture Administrative, ou est l'une des activités mentionnées en annexe 1 avec une perte d'au moins 50 %, ou en annexe 2 ou 3 avec une perte d'au moins 70 % et avec une perte de CA d'au moins 80 % entre le 15/03/2020 et le 15/05/2020 ou au mois de Novembre 2020 ou une perte de 10 % entre 2019 et 2020</t>
  </si>
  <si>
    <t>Ces aides prévues de l'article 3-15 à 3-18 ne sont pas cumulables au titre du mois de Décembre 2020</t>
  </si>
  <si>
    <r>
      <t xml:space="preserve">Vous </t>
    </r>
    <r>
      <rPr>
        <b/>
        <u/>
        <sz val="11"/>
        <color rgb="FF0D4174"/>
        <rFont val="Calibri"/>
        <family val="2"/>
        <scheme val="minor"/>
      </rPr>
      <t>devez</t>
    </r>
    <r>
      <rPr>
        <b/>
        <sz val="11"/>
        <color rgb="FF0D4174"/>
        <rFont val="Calibri"/>
        <family val="2"/>
        <scheme val="minor"/>
      </rPr>
      <t>, pour 2020 et 2021, compléter les CA réalisés :</t>
    </r>
  </si>
  <si>
    <t>Année 2021</t>
  </si>
  <si>
    <t>- Janvier :</t>
  </si>
  <si>
    <t>Aides du fonds de solidarité du mois de Janvier :</t>
  </si>
  <si>
    <t>* Aide de 1 500 € maximum en cas de perte d'au-moins 50 % du CA de Janvier 2021</t>
  </si>
  <si>
    <t>De Janvier 2019 :</t>
  </si>
  <si>
    <t>Ces aides prévues à l'article 3-19 ne sont pas cumulables au titre du mois de Janvier 2021</t>
  </si>
  <si>
    <t>Pré-requis pour les entreprises nouvelles : avoir débuté son activité avant le 31 Octobre 2020</t>
  </si>
  <si>
    <t>(new*) ou des entreprises du secteur de l'hôtellerie et de la restauration</t>
  </si>
  <si>
    <t>SUIVI DES AIDES ANNONCÉES 
PAR LE DÉCRET 2020-371</t>
  </si>
  <si>
    <t>1- Téléphériques et remontées mécaniques</t>
  </si>
  <si>
    <t>2- Hôtels et hébergement similaire</t>
  </si>
  <si>
    <t>3- Hébergement touristique et autre hébergement de courte durée</t>
  </si>
  <si>
    <t>4- Terrains de camping et parcs pour caravanes ou véhicules de loisirs</t>
  </si>
  <si>
    <t>5- Restauration traditionnelle</t>
  </si>
  <si>
    <t>6- Cafétérias et autres libres-services</t>
  </si>
  <si>
    <t>7- Restauration de type rapide</t>
  </si>
  <si>
    <t>8- Services de restauration collective sous contrat, de cantines et restaurants d'entreprise</t>
  </si>
  <si>
    <t>9- Services des traiteurs</t>
  </si>
  <si>
    <t>10- Débits de boissons</t>
  </si>
  <si>
    <t>11- Projection de films cinématographiques et autres industries techniques du cinéma et de l'image animée</t>
  </si>
  <si>
    <t>12- Post-production de films cinématographiques, de vidéo et de programmes de télévision</t>
  </si>
  <si>
    <t>13- Distribution de films cinématographiques</t>
  </si>
  <si>
    <t>15- Location et location-bail d'articles de loisirs et de sport</t>
  </si>
  <si>
    <t>16- Activités des agences de voyage</t>
  </si>
  <si>
    <t>17- Activités des voyagistes</t>
  </si>
  <si>
    <t>18- Autres services de réservation et activités connexes</t>
  </si>
  <si>
    <t>19- Organisation de foires, évènements publics ou privés, salons ou séminaires professionnels, congrès</t>
  </si>
  <si>
    <t>20- Agences de mannequins</t>
  </si>
  <si>
    <t>21- Entreprises de détaxe et bureaux de change (changeurs manuels)</t>
  </si>
  <si>
    <t>22- Enseignement de disciplines sportives et d'activités de loisirs</t>
  </si>
  <si>
    <t>24- Activités de soutien au spectacle vivant</t>
  </si>
  <si>
    <t>25- Création artistique relevant des arts plastiques</t>
  </si>
  <si>
    <t>26- Galeries d'art</t>
  </si>
  <si>
    <t>27- Artistes auteurs</t>
  </si>
  <si>
    <t>28- Gestion de salles de spectacles et production de spectacles</t>
  </si>
  <si>
    <t>29- Gestion des musées</t>
  </si>
  <si>
    <t>30- Guides conférenciers</t>
  </si>
  <si>
    <t>31- Gestion des sites et monuments historiques et des attractions touristiques similaires</t>
  </si>
  <si>
    <t>32- Gestion des jardins botaniques et zoologiques et des réserves naturelles</t>
  </si>
  <si>
    <t>33- Gestion d'installations sportives</t>
  </si>
  <si>
    <t>34- Activités de clubs de sports</t>
  </si>
  <si>
    <t>35- Activité des centres de culture physique</t>
  </si>
  <si>
    <t>36- Autres activités liées au sport</t>
  </si>
  <si>
    <t>38- Autres activités récréatives et de loisirs</t>
  </si>
  <si>
    <t>39- Exploitations de casinos</t>
  </si>
  <si>
    <t>40- Entretien corporel</t>
  </si>
  <si>
    <t>41- Trains et chemins de fer touristiques</t>
  </si>
  <si>
    <t>42- Transport transmanche</t>
  </si>
  <si>
    <t>43- Transport aérien de passagers</t>
  </si>
  <si>
    <t>44- Transport de passagers sur les fleuves, les canaux, les lacs, location de bateaux de plaisance</t>
  </si>
  <si>
    <t>47- Transport maritime et côtier de passagers</t>
  </si>
  <si>
    <t>48- Production de films et de programmes pour la télévision</t>
  </si>
  <si>
    <t>49- Production de films institutionnels et publicitaires</t>
  </si>
  <si>
    <t>50- Production de films pour le cinéma</t>
  </si>
  <si>
    <t>51- Activités photographiques</t>
  </si>
  <si>
    <t>52- Enseignement culturel</t>
  </si>
  <si>
    <t xml:space="preserve">60- Agences artistiques de cinéma </t>
  </si>
  <si>
    <t>(new***) 68- Culture de plantes à boissons</t>
  </si>
  <si>
    <t>(new***) 70- Production de boissons alcooliques distillées</t>
  </si>
  <si>
    <t>(new***) 72- Vinification</t>
  </si>
  <si>
    <r>
      <t xml:space="preserve">23- Arts du spectacle vivant, </t>
    </r>
    <r>
      <rPr>
        <sz val="9"/>
        <color theme="5"/>
        <rFont val="DIN Light"/>
      </rPr>
      <t xml:space="preserve">(new**) </t>
    </r>
    <r>
      <rPr>
        <sz val="9"/>
        <color rgb="FFED7D31"/>
        <rFont val="DIN Light"/>
      </rPr>
      <t>cirques</t>
    </r>
  </si>
  <si>
    <t xml:space="preserve">(new**) 61- Fabrication et distribution de matériels scéniques, audiovisuels et évènementiels </t>
  </si>
  <si>
    <t xml:space="preserve">(new**) 62- Exportateurs de films </t>
  </si>
  <si>
    <t xml:space="preserve">(new**) 63- Commissaires d'exposition </t>
  </si>
  <si>
    <t xml:space="preserve">(new**) 64- Scénographes d'exposition </t>
  </si>
  <si>
    <t xml:space="preserve">(new**) 65- Magasins de souvenirs et de piété </t>
  </si>
  <si>
    <t>(new**) 66- Entreprises de covoiturage</t>
  </si>
  <si>
    <t>(new**) 67- Entreprises de transport ferroviaire international de voyageurs</t>
  </si>
  <si>
    <t>(new*) 14- Conseil et assistance opérationnelle apportés aux entreprises et aux autres organisations de distribution de films cinématographiques en matière de relations publiques et de communication</t>
  </si>
  <si>
    <r>
      <t>37- Activités des parcs d'attractions,</t>
    </r>
    <r>
      <rPr>
        <sz val="9"/>
        <color theme="4"/>
        <rFont val="DIN Light"/>
      </rPr>
      <t xml:space="preserve"> (new*) </t>
    </r>
    <r>
      <rPr>
        <sz val="9"/>
        <color rgb="FF5B9BD5"/>
        <rFont val="DIN Light"/>
      </rPr>
      <t xml:space="preserve">fêtes foraines </t>
    </r>
    <r>
      <rPr>
        <sz val="9"/>
        <color theme="1"/>
        <rFont val="DIN Light"/>
      </rPr>
      <t>et parcs à thèmes</t>
    </r>
  </si>
  <si>
    <t>(new*) 45- Transports routiers réguliers de voyageurs</t>
  </si>
  <si>
    <t>(new*) 46- Autres transports routiers de voyageurs</t>
  </si>
  <si>
    <t>(new*) 53- Traducteurs-interprètes</t>
  </si>
  <si>
    <t>(new*) 54- Prestation et location de chapiteaux, tentes, structures, sonorisation, photographie, lumière et pyrotechnie</t>
  </si>
  <si>
    <t>(new*) 55- Transports de voyageurs par taxis et véhicules de tourisme avec chauffeur</t>
  </si>
  <si>
    <t>(new*) 56- Location de courte durée de voitures et de véhicules automobiles légers</t>
  </si>
  <si>
    <t>(new*) 57- Fabrication de structures métalliques et de parties de structures</t>
  </si>
  <si>
    <t>(new*) 58- Régie publicitaire de médias</t>
  </si>
  <si>
    <t>(new*) 59- Accueils collectifs de mineurs en hébergement touristique</t>
  </si>
  <si>
    <t>3- Pêche en mer</t>
  </si>
  <si>
    <t>4- Pêche en eau douce</t>
  </si>
  <si>
    <t>5- Aquaculture en mer</t>
  </si>
  <si>
    <t>6- Aquaculture en eau douce</t>
  </si>
  <si>
    <t>12- Fabrication de bière</t>
  </si>
  <si>
    <t>13- Production de fromages sous appellation d'origine protégée ou indication géographique protégée</t>
  </si>
  <si>
    <t>14- Fabrication de malt</t>
  </si>
  <si>
    <t>15- Centrales d'achat alimentaires</t>
  </si>
  <si>
    <t>16- Autres intermédiaires du commerce en denrées et boissons</t>
  </si>
  <si>
    <t>17- Commerce de gros de fruits et légumes</t>
  </si>
  <si>
    <t>18- Herboristerie/ horticulture/ commerce de gros de fleurs et plans</t>
  </si>
  <si>
    <t>19- Commerce de gros de produits laitiers, œufs, huiles et matières grasses comestibles</t>
  </si>
  <si>
    <t>20- Commerce de gros de boissons</t>
  </si>
  <si>
    <t>21- Mareyage et commerce de gros de poissons, coquillages, crustacés</t>
  </si>
  <si>
    <t>22- Commerce de gros alimentaire spécialisé divers</t>
  </si>
  <si>
    <t>23- Commerce de gros de produits surgelés</t>
  </si>
  <si>
    <t>24- Commerce de gros alimentaire</t>
  </si>
  <si>
    <t>25- Commerce de gros non spécialisé</t>
  </si>
  <si>
    <t>26- Commerce de gros de textiles</t>
  </si>
  <si>
    <t>27- Intermédiaires spécialisés dans le commerce d'autres produits spécifiques</t>
  </si>
  <si>
    <t>28- Commerce de gros d'habillement et de chaussures</t>
  </si>
  <si>
    <t>29- Commerce de gros d'autres biens domestiques</t>
  </si>
  <si>
    <t>30- Commerce de gros de vaisselle, verrerie et produits d'entretien</t>
  </si>
  <si>
    <t>31- Commerce de gros de fournitures et équipements divers pour le commerce et les services</t>
  </si>
  <si>
    <t>33- Blanchisserie-teinturerie de gros</t>
  </si>
  <si>
    <t>34- Stations-service</t>
  </si>
  <si>
    <t>35- Enregistrement sonore et édition musicale</t>
  </si>
  <si>
    <t>36- Editeurs de livres</t>
  </si>
  <si>
    <t>37- Services auxiliaires des transports aériens</t>
  </si>
  <si>
    <t>38- Services auxiliaires de transport par eau</t>
  </si>
  <si>
    <t>39- Boutique des galeries marchandes et des aéroports</t>
  </si>
  <si>
    <t>40- Autres métiers d'art</t>
  </si>
  <si>
    <t>41- Paris sportifs</t>
  </si>
  <si>
    <t>42- Activités liées à la production de matrices sonores originales, sur bandes, cassettes, CD, la mise à disposition des enregistrements, leur promotion et leur distribution</t>
  </si>
  <si>
    <t>(new***) 69- Culture de la vigne</t>
  </si>
  <si>
    <t>(new***) 71- Fabrication de vins effervescents</t>
  </si>
  <si>
    <t>(new***) 73- Fabrication de cidre et de vins de fruits</t>
  </si>
  <si>
    <t>(new***) 74- Production d’autres boissons fermentées non distillées</t>
  </si>
  <si>
    <t>(new***) 75- Intermédiaire du commerce en vins ayant la qualité d’entrepositaire agréé en application de l’article 302 G du Code Général des Impôts</t>
  </si>
  <si>
    <t>(new***) 76- Commerçant de gros en vins ayant la qualité d’entrepositaire agréé en application de l’article 302 G du Code Général des Impôts</t>
  </si>
  <si>
    <t>(new***) 77- Intermédiaire du commerce en spiritueux exerçant une activité de distillation</t>
  </si>
  <si>
    <t>(new***) 78- Commerçant de gros en spiritueux exerçant une activité de distillation</t>
  </si>
  <si>
    <r>
      <t>1 Culture de plantes à boissons</t>
    </r>
    <r>
      <rPr>
        <b/>
        <sz val="9"/>
        <color rgb="FF70AD47"/>
        <rFont val="DIN Light"/>
      </rPr>
      <t xml:space="preserve"> (new***) (passage en Annexe 1)</t>
    </r>
  </si>
  <si>
    <r>
      <t>8 Fabrication de vins effervescents</t>
    </r>
    <r>
      <rPr>
        <sz val="9"/>
        <color rgb="FF3C3C3C"/>
        <rFont val="DIN Light"/>
      </rPr>
      <t xml:space="preserve"> (new***) </t>
    </r>
    <r>
      <rPr>
        <b/>
        <sz val="9"/>
        <color rgb="FF70AD47"/>
        <rFont val="DIN Light"/>
      </rPr>
      <t>(passage en Annexe 1)</t>
    </r>
  </si>
  <si>
    <r>
      <t>2 Culture de la vigne</t>
    </r>
    <r>
      <rPr>
        <sz val="9"/>
        <color rgb="FF3C3C3C"/>
        <rFont val="DIN Light"/>
      </rPr>
      <t xml:space="preserve"> </t>
    </r>
    <r>
      <rPr>
        <sz val="9"/>
        <color theme="9"/>
        <rFont val="DIN Light"/>
      </rPr>
      <t xml:space="preserve">(new***) </t>
    </r>
    <r>
      <rPr>
        <b/>
        <sz val="9"/>
        <color rgb="FF70AD47"/>
        <rFont val="DIN Light"/>
      </rPr>
      <t>(passage en Annexe 1)</t>
    </r>
  </si>
  <si>
    <r>
      <t xml:space="preserve">7 Production de boissons alcooliques distillées </t>
    </r>
    <r>
      <rPr>
        <strike/>
        <sz val="9"/>
        <color theme="9"/>
        <rFont val="DIN Light"/>
      </rPr>
      <t>(new***)</t>
    </r>
    <r>
      <rPr>
        <strike/>
        <sz val="9"/>
        <color rgb="FF3C3C3C"/>
        <rFont val="DIN Light"/>
      </rPr>
      <t xml:space="preserve"> </t>
    </r>
    <r>
      <rPr>
        <b/>
        <sz val="9"/>
        <color rgb="FF70AD47"/>
        <rFont val="DIN Light"/>
      </rPr>
      <t>(passage en Annexe 1)</t>
    </r>
  </si>
  <si>
    <r>
      <t>9 Vinification</t>
    </r>
    <r>
      <rPr>
        <sz val="9"/>
        <color rgb="FF3C3C3C"/>
        <rFont val="DIN Light"/>
      </rPr>
      <t xml:space="preserve"> </t>
    </r>
    <r>
      <rPr>
        <sz val="9"/>
        <color theme="9"/>
        <rFont val="DIN Light"/>
      </rPr>
      <t xml:space="preserve">(new***) </t>
    </r>
    <r>
      <rPr>
        <b/>
        <sz val="9"/>
        <color rgb="FF70AD47"/>
        <rFont val="DIN Light"/>
      </rPr>
      <t>(passage en Annexe 1)</t>
    </r>
  </si>
  <si>
    <r>
      <t>10 Fabrication de cidre et de vins de fruits</t>
    </r>
    <r>
      <rPr>
        <sz val="9"/>
        <color rgb="FF3C3C3C"/>
        <rFont val="DIN Light"/>
      </rPr>
      <t xml:space="preserve"> </t>
    </r>
    <r>
      <rPr>
        <sz val="9"/>
        <color theme="9"/>
        <rFont val="DIN Light"/>
      </rPr>
      <t xml:space="preserve">(new***) </t>
    </r>
    <r>
      <rPr>
        <b/>
        <sz val="9"/>
        <color theme="9"/>
        <rFont val="DIN Light"/>
      </rPr>
      <t>(</t>
    </r>
    <r>
      <rPr>
        <b/>
        <sz val="9"/>
        <color rgb="FF70AD47"/>
        <rFont val="DIN Light"/>
      </rPr>
      <t>passage en Annexe 1)</t>
    </r>
  </si>
  <si>
    <r>
      <t>11 Production d'autres boissons fermentées non distillées</t>
    </r>
    <r>
      <rPr>
        <sz val="9"/>
        <color theme="9"/>
        <rFont val="DIN Light"/>
      </rPr>
      <t xml:space="preserve"> (new***) </t>
    </r>
    <r>
      <rPr>
        <b/>
        <sz val="9"/>
        <color theme="9"/>
        <rFont val="DIN Light"/>
      </rPr>
      <t>(p</t>
    </r>
    <r>
      <rPr>
        <b/>
        <sz val="9"/>
        <color rgb="FF70AD47"/>
        <rFont val="DIN Light"/>
      </rPr>
      <t>assage en Annexe 1)</t>
    </r>
  </si>
  <si>
    <t>(new**) 80- Ecoles de français langue étrangère</t>
  </si>
  <si>
    <t xml:space="preserve">(new**) 81- Commerce des vêtements de cérémonie, d'accessoires de ganterie et de chapellerie et de costumes pour les grands évènements </t>
  </si>
  <si>
    <t xml:space="preserve">(new**) 82- Articles pour fêtes et divertissements, panoplies et déguisements </t>
  </si>
  <si>
    <t xml:space="preserve">(new**) 83- Commerce de gros de vêtements de travail </t>
  </si>
  <si>
    <t>(new**) 84- Antiquaires</t>
  </si>
  <si>
    <t>(new**) 85- Equipementiers de salles de projection cinématographiques</t>
  </si>
  <si>
    <t>(new**) 86- Edition et diffusion de programmes radios à audience locale, éditions de chaînes de télévision à audience locale</t>
  </si>
  <si>
    <t>(new**) 87- Correspondants locaux de presse</t>
  </si>
  <si>
    <t>(new**) 88- Fabrication de skis, fixations et bâtons pour skis, chaussures de ski</t>
  </si>
  <si>
    <t>(new**) 89- Réparation de chaussures et d'articles en cuir</t>
  </si>
  <si>
    <t>(new*) 32- Commerce de détail en magasin situé dans une zone touristique internationale mentionnée à l'article L. 3132-24 du code du travail, à l'exception du commerce alimentaire ou à prédominance alimentaire (hors commerce de boissons en magasin spécialisé), du commerce d'automobiles, de motocyles, de carburants, de charbons et combustibles, d'équipements du foyer, d'articles médicaux et orthopédiques et de fleurs, plantes, graines, engrais, animaux de compagnie et aliments pour ces animaux</t>
  </si>
  <si>
    <t>(new*) 43- Tourisme de savoir-faire : entreprises réalisant des ventes directement sur leur site de production aux visiteurs et qui ont obtenu le label : “ entreprise du patrimoine vivant ” en application du décret n° 2006-595 du 23 mai 2006 relatif à l'attribution du label “ entreprise du patrimoine vivant ” ou qui sont titulaires de la marque d'Etat “ Qualité TourismeTM ” au titre de la visite d'entreprise ou qui utilisent des savoir-faire inscrits sur la liste représentative du patrimoine culturel immatériel de l'humanité prévue par la convention pour la sauvegarde du patrimoine culturel immatériel adoptée à Paris le 17 octobre 2003, dans la catégorie des « savoir-faire liés à l'artisanat traditionnel</t>
  </si>
  <si>
    <t>(new*) 44- Activités de sécurité privée</t>
  </si>
  <si>
    <t>(new*) 45- Nettoyage courant des bâtiments</t>
  </si>
  <si>
    <t>(new*) 46- Autres activités de nettoyage des bâtiments et nettoyage industriel</t>
  </si>
  <si>
    <t>(new*) 47- Fabrication de foie gras</t>
  </si>
  <si>
    <t>(new*) 48- Préparation à caractère artisanal de produits de charcuterie</t>
  </si>
  <si>
    <t>(new*) 49- Pâtisserie</t>
  </si>
  <si>
    <t>(new*) 50- Commerce de détail de viandes et de produits à base de viande en magasin spécialisé</t>
  </si>
  <si>
    <t>(new*) 51- Commerce de détail de viande, produits à base de viandes sur éventaires et marchés</t>
  </si>
  <si>
    <t>(new*) 52- Fabrication de vêtements de travail</t>
  </si>
  <si>
    <t>(new*) 53- Reproduction d'enregistrements</t>
  </si>
  <si>
    <t>(new*) 54- Fabrication de verre creux</t>
  </si>
  <si>
    <t>(new*) 55- Fabrication d'articles céramiques à usage domestique ou ornemental</t>
  </si>
  <si>
    <t>(new*) 56- Fabrication de coutellerie</t>
  </si>
  <si>
    <t>(new*) 57- Fabrication d'articles métalliques ménagers</t>
  </si>
  <si>
    <t>(new*) 58- Fabrication d'appareils ménagers non électriques</t>
  </si>
  <si>
    <t>(new*) 59- Fabrication d'appareils d'éclairage électrique</t>
  </si>
  <si>
    <t>(new*) 60- Travaux d'installation électrique dans tous locaux</t>
  </si>
  <si>
    <t>(new*) 61- Aménagement de lieux de vente</t>
  </si>
  <si>
    <t>(new*) 62- Commerce de détail de fleurs, en pot ou coupées, de compositions florales, de plantes et de graines</t>
  </si>
  <si>
    <t>(new*) 63- Commerce de détail de livres sur éventaires et marchés</t>
  </si>
  <si>
    <t>(new*) 64- Courtier en assurance voyage</t>
  </si>
  <si>
    <t>(new*) 65- Location et exploitation d'immeubles non résidentiels de réception</t>
  </si>
  <si>
    <t>(new*) 66- Conseil en relations publiques et communication</t>
  </si>
  <si>
    <t>(new*) 67- Activités des agences de publicité</t>
  </si>
  <si>
    <t>(new*) 68- Activités spécialisées de design</t>
  </si>
  <si>
    <t>(new*) 69- Activités spécialisées, scientifiques et techniques diverses</t>
  </si>
  <si>
    <t>(new*) 70- Services administratifs d'assistance à la demande de visas</t>
  </si>
  <si>
    <t>(new*) 71- Autre création artistique</t>
  </si>
  <si>
    <t>(new*) 72- Blanchisserie-teinturerie de détail</t>
  </si>
  <si>
    <t>(new*) 73- Construction de maisons mobiles pour les terrains de camping</t>
  </si>
  <si>
    <t>(new*) 74- Fabrication de vêtements de cérémonie, d'accessoires de ganterie et de chapellerie et de costumes pour les grands évènements</t>
  </si>
  <si>
    <t>(new*) 75- Vente par automate</t>
  </si>
  <si>
    <t>(new*) 76- Commerce de gros de viandes et de produits à base de viande</t>
  </si>
  <si>
    <t>(new*) 77- Garde d'animaux de compagnie avec ou sans hébergement</t>
  </si>
  <si>
    <t>(new*) 78- Fabrication de dentelle et broderie</t>
  </si>
  <si>
    <t>(new*) 79- Couturiers</t>
  </si>
  <si>
    <t>(new*)  Activités des agences de placement de main-d'œuvre (new**) supprimé</t>
  </si>
  <si>
    <t>(new*) 92- Fabrication et distribution de matériels scéniques, audiovisuels et évènementiels</t>
  </si>
  <si>
    <t>(new*) 93- Prestation de services spécialisés dans l'aménagement et l'agencement des stands et lieux lorsque au moins 50 % du chiffre d'affaires est réalisé avec une ou des entreprises du secteur de la production de spectacles, l'organisation de foires, d'évènements publics ou privés, de salons ou séminaires professionnels ou de congrès</t>
  </si>
  <si>
    <t>(new*) 94- Activités immobilières, lorsque au moins 50 % du chiffre d'affaires est réalisé avec une ou des entreprises du secteur de l'organisation de foires, d'évènements publics ou privés, de salons ou séminaires professionnels ou de congrès.</t>
  </si>
  <si>
    <t>(new*) 95- Entreprises de transport réalisant au moins 50 % de leur chiffre d'affaires avec une ou des entreprises du secteur de l'organisation de foires, d'évènements publics ou privés, de salons ou séminaires professionnels ou de congrès</t>
  </si>
  <si>
    <t>(new*) 96- Entreprises du numérique réalisant au moins 50 % de leur chiffre d'affaires avec une ou des entreprises du secteur de l'organisation de foires, d'évènements publics ou privés, de salons ou séminaires professionnels ou de congrès</t>
  </si>
  <si>
    <t>(new***) : Activité ajoutée sur le Décret 2021-79 et 129 du 28 Janvier et du 08 Février 2021</t>
  </si>
  <si>
    <t>À cocher en cas de fermeture administrative en Janvier 2021</t>
  </si>
  <si>
    <t>Janvier</t>
  </si>
  <si>
    <t>À cocher en cas de fermeture administrative en Décembre 2020</t>
  </si>
  <si>
    <t>À cocher en cas de fermeture administrative en Novembre 2020</t>
  </si>
  <si>
    <t>* Aide de 15 à 20 % du CA maximum en cas de fermeture Administrative, ou est l'une des activités mentionnées en annexe 1 avec une perte d'au moins 50 %, ou en annexe 2 avec une perte d'au moins 50 % ou 3 avec une perte d'au moins 70 % et avec une perte de CA d'au moins 80 % entre le 15/03/2020 et le 15/05/2020 ou au mois de Novembre 2020 ou une perte de 10 % entre 2019 et 2020</t>
  </si>
  <si>
    <t>L'activité est mentionnées en annexe 3 :</t>
  </si>
  <si>
    <t>À cocher en cas de domiciliation de l'activité dans une commune mentionnée à l'annexe 3 et par l'article 18 du décret 2020-1310 et 3-19 2021-192</t>
  </si>
  <si>
    <t>Février</t>
  </si>
  <si>
    <t>- Février :</t>
  </si>
  <si>
    <t>Aides du fonds de solidarité du mois de Février :</t>
  </si>
  <si>
    <t>* Aide de 1 500 € maximum en cas de perte d'au-moins 50 % du CA de Février 2021</t>
  </si>
  <si>
    <t>De Février 2019 :</t>
  </si>
  <si>
    <t>Ces aides prévues à l'article 3-22 ne sont pas cumulables au titre du mois de Février 2021</t>
  </si>
  <si>
    <t>Fermeture Administrative et 20 % de perte</t>
  </si>
  <si>
    <t>Centre commercial</t>
  </si>
  <si>
    <t>(New****) 90- Fabrication de bidons de bière métalliques, tonnelets de bières métalliques, fûts de bière métalliques</t>
  </si>
  <si>
    <r>
      <t xml:space="preserve">(new*) 91- Entreprises artisanales </t>
    </r>
    <r>
      <rPr>
        <b/>
        <sz val="9"/>
        <color theme="9"/>
        <rFont val="DIN Light"/>
      </rPr>
      <t>(new***)</t>
    </r>
    <r>
      <rPr>
        <b/>
        <sz val="9"/>
        <color rgb="FF5B9BD5"/>
        <rFont val="DIN Light"/>
      </rPr>
      <t xml:space="preserve"> </t>
    </r>
    <r>
      <rPr>
        <b/>
        <sz val="9"/>
        <color rgb="FF70AD47"/>
        <rFont val="DIN Light"/>
      </rPr>
      <t xml:space="preserve">et commerçants </t>
    </r>
    <r>
      <rPr>
        <b/>
        <sz val="9"/>
        <color rgb="FF5B9BD5"/>
        <rFont val="DIN Light"/>
      </rPr>
      <t>réalisant au moins 50 % de leur chiffre d'affaires par la vente de leurs produits ou services sur les foires et salons</t>
    </r>
  </si>
  <si>
    <t>(new*) 92- Métiers graphiques, métiers d'édition spécifique, de communication et de conception de stands et d'espaces éphémères réalisant au moins 50 % de leur chiffre d'affaires avec une ou des entreprises du secteur de l'organisation de foires, d'évènements publics ou privés, de salons ou séminaires professionnels ou de congrès</t>
  </si>
  <si>
    <r>
      <t xml:space="preserve">(new*) 98- Fabrication de produits alimentaires lorsque au moins 50 % du chiffre d'affaires est réalisé avec une ou des entreprises </t>
    </r>
    <r>
      <rPr>
        <b/>
        <sz val="9"/>
        <color theme="5"/>
        <rFont val="DIN Light"/>
      </rPr>
      <t xml:space="preserve">(new**) </t>
    </r>
    <r>
      <rPr>
        <b/>
        <strike/>
        <sz val="9"/>
        <color rgb="FFED7D31"/>
        <rFont val="DIN Light"/>
      </rPr>
      <t>du secteur de la restauration</t>
    </r>
    <r>
      <rPr>
        <b/>
        <sz val="9"/>
        <color rgb="FF5B9BD5"/>
        <rFont val="DIN Light"/>
      </rPr>
      <t xml:space="preserve"> </t>
    </r>
    <r>
      <rPr>
        <sz val="9"/>
        <color rgb="FFED7D31"/>
        <rFont val="DIN Light"/>
      </rPr>
      <t>des secteurs de l'évènementiel, de l'hôtellerie ou de la restauration</t>
    </r>
  </si>
  <si>
    <t>(new*) 99- Fabrication d'équipements de cuisines lorsque au moins 50 % du chiffre d'affaires est réalisé avec une ou des entreprises du secteur de la restauration</t>
  </si>
  <si>
    <t>(new*) 100- Installation et maintenance de cuisines lorsque au moins 50 % du chiffre d'affaires est réalisé avec une ou des entreprises du secteur de la restauration</t>
  </si>
  <si>
    <t>(new****) 97- Fabrication de ligne de lit et de table lorsqu’au-moins 50% du chiffre d’affaires est réalisé avec une ou des entreprises du secteur de l’hôtellerie et de la restauration.</t>
  </si>
  <si>
    <t xml:space="preserve">(new*) 101- Elevage de pintades, de canards et d'autres oiseaux (hors volaille) lorsque au moins 50 %
du chiffre d'affaires est réalisé avec une ou des entreprises du secteur de la restauration. </t>
  </si>
  <si>
    <t xml:space="preserve">(new**) 102- Prestations d'accueil lorsque au moins 50 % du chiffre d'affaires est réalisé avec une ou des entreprises du secteur de l'évènementiel </t>
  </si>
  <si>
    <t>(new**) 103- Prestataires d'organisation de mariage lorsque au moins 50 % du chiffre d'affaires est réalisé avec une ou des entreprises du secteur de l'évènementiel ou de la restauration ;</t>
  </si>
  <si>
    <t xml:space="preserve">(new**) 104- Location de vaisselle lorsque au moins 50 % du chiffre d'affaire est réalisé avec une ou des entreprises du secteur de l'organisation de foires, d'évènements publics ou privés, de salons ou séminaires professionnels ou de congrès </t>
  </si>
  <si>
    <t>(new**) 105- Fabrication des nappes et serviettes de fibres de cellulose lorsque au moins 50 % du chiffre d'affaire est réalisé avec une ou des entreprises du secteur de la restauration ;</t>
  </si>
  <si>
    <t>(new**) 106- Collecte des déchets non dangereux lorsque au moins 50 % du chiffre d'affaires est réalisé avec une ou des entreprises du secteur de la restauration</t>
  </si>
  <si>
    <t xml:space="preserve">(new**) 107- Exploitations agricoles des filières dites festives lorsqu'au moins 50 % du chiffre d'affaires est réalisé avec une ou des entreprises du secteur de la restauration ou de la chasse </t>
  </si>
  <si>
    <r>
      <t xml:space="preserve">(new**) 108- </t>
    </r>
    <r>
      <rPr>
        <b/>
        <sz val="9"/>
        <color rgb="FFED7D31"/>
        <rFont val="DIN Light"/>
      </rPr>
      <t>Entreprises de transformation et conservation de poisson, de crustacés et de mollusques des filières dites festives lorsqu'au moins 50 % du chiffre d'affaires est réalisé avec une ou des entreprises du secteur de la restauration</t>
    </r>
  </si>
  <si>
    <t xml:space="preserve">(new**) 109- Activités des agences de presse lorsque au moins 50 % du chiffre d'affaires est réalisé avec une ou des entreprises du secteur de l'évènementiel, du tourisme, du sport ou de la culture </t>
  </si>
  <si>
    <r>
      <t xml:space="preserve">(new**) 110- </t>
    </r>
    <r>
      <rPr>
        <b/>
        <sz val="9"/>
        <color rgb="FFED7D31"/>
        <rFont val="DIN Light"/>
      </rPr>
      <t>Edition de journaux, éditions de revues et périodiques lorsqu'au moins 50 % du chiffre d'affaires est réalisé avec une ou des entreprises du secteur de l'évènementiel, du tourisme, du sport ou de la culture</t>
    </r>
  </si>
  <si>
    <t xml:space="preserve">(new**) 116- Activités des agences de placement de main-d'œuvre lorsque au moins 50 % du chiffre d'affaires est réalisé avec une ou des entreprises du secteur de l'évènementiel, de l'hôtellerie ou de la restauration </t>
  </si>
  <si>
    <t xml:space="preserve">(new**) 117- Activités des agences de travail temporaire lorsque au moins 50 % du chiffre d'affaires est réalisé avec une ou des entreprises du secteur de l'évènementiel, de l'hôtellerie ou de la restauration </t>
  </si>
  <si>
    <t>(new**) 118- Autres mises à disposition de ressources humaines lorsque au moins 50 % du chiffre d'affaires est réalisé avec une ou des entreprises du secteur de l'évènementiel, de l'hôtellerie ou de la restauration</t>
  </si>
  <si>
    <r>
      <t xml:space="preserve">(new**) 119- </t>
    </r>
    <r>
      <rPr>
        <b/>
        <sz val="9"/>
        <color rgb="FFED7D31"/>
        <rFont val="DIN Light"/>
      </rPr>
      <t>Fabrication de meubles de bureau et de magasin lorsqu'au moins 50 % du chiffre d'affaires est réalisé avec une ou des entreprises du secteur de l'hôtellerie ou de la restauration</t>
    </r>
    <r>
      <rPr>
        <sz val="9"/>
        <color rgb="FFED7D31"/>
        <rFont val="DIN Light"/>
      </rPr>
      <t xml:space="preserve"> </t>
    </r>
  </si>
  <si>
    <t>(new***) 120- Commerce de détail d’articles du sport en magasin spécialisé lorsqu’au moins 50 % du chiffre d’affaires est réalisé dans la vente au détail de skis et de chaussures de ski</t>
  </si>
  <si>
    <t>(New****) 129 – Commerce de gros de café, thé, cacao et épices lorsqu’au moins 50% du chiffre d’affaires est réalisé
avec une ou des entreprises du secteur de l’hôtellerie ou de la restauration.</t>
  </si>
  <si>
    <t xml:space="preserve">(new**) 111- Entreprises de conseil spécialisées lorsque au moins 50 % du chiffre d'affaires est réalisé avec une ou des entreprises du secteur du sport, (new****) l’évènementiel, du tourisme, ou de la culture
</t>
  </si>
  <si>
    <t>(new**) 112- Commerce de gros (commerce interentreprises) de matériel électrique lorsqu'au moins 50 % du chiffre d'affaires est réalisé avec une ou des entreprises du secteur du sport, (new****)  l’évènementiel, du tourisme, ou de la culture</t>
  </si>
  <si>
    <t>(new**) 113- Activités des agents et courtiers d'assurance lorsque au moins 50 % du chiffre d'affaires est réalisé avec une ou des entreprises du secteur du sport, (new****) l’évènementiel, du tourisme, ou de la culture</t>
  </si>
  <si>
    <t>(new**) 114- Conseils pour les affaires et autres conseils de gestion lorsque au moins 50 % du chiffre d'affaires est réalisé avec une ou des entreprises du secteur du sport, (new****) l’évènementiel, du tourisme, ou de la culture</t>
  </si>
  <si>
    <t>(new**) 115- Etudes de marchés et sondages lorsque au moins 50 % du chiffre d'affaires est réalisé avec une ou des entreprises du secteur du sport, (new****) l’évènementiel, du tourisme, ou de la culture</t>
  </si>
  <si>
    <t>(new****) : Activité ajoutée sur le Décret 2021-256 09 Mars 2021</t>
  </si>
  <si>
    <t>Mars</t>
  </si>
  <si>
    <t>Avril</t>
  </si>
  <si>
    <t>Mai</t>
  </si>
  <si>
    <t>Juin</t>
  </si>
  <si>
    <t>Recettes</t>
  </si>
  <si>
    <t>+</t>
  </si>
  <si>
    <t>-</t>
  </si>
  <si>
    <t>Subvention (dont FDS)</t>
  </si>
  <si>
    <t>Achats consommés</t>
  </si>
  <si>
    <t>Consommations en provenance de tiers </t>
  </si>
  <si>
    <t>Charges de personnel</t>
  </si>
  <si>
    <t>Impôts et taxes et versements assimilés</t>
  </si>
  <si>
    <t>L'excédent brut d'exploitation - EBE</t>
  </si>
  <si>
    <t>=</t>
  </si>
  <si>
    <t>Aides complémentaires</t>
  </si>
  <si>
    <t>Prise en charge des coûts fixes du mois de Janvier :</t>
  </si>
  <si>
    <t>- Avoir débuté son activité avant le 01 Janvier 2019 ;</t>
  </si>
  <si>
    <t>þ</t>
  </si>
  <si>
    <t>ý</t>
  </si>
  <si>
    <t>- Avoir perdu plus de 10 % de sonc CA entre 2020 et 2019 ;</t>
  </si>
  <si>
    <t>- Avoir réalisé plus d’1 M€ de chiffre d’affaires mensuel ou 12 M€ de chiffre d’affaires annuel ;</t>
  </si>
  <si>
    <t>- justifié d’une perte d’au moins 50 % de CA en janvier 2021 ;</t>
  </si>
  <si>
    <t>(Activité non mentionnée)</t>
  </si>
  <si>
    <t xml:space="preserve">Ce dispositif vise à prendre en charge les coûts fixes des entreprises qui ne sont pas couverts par leurs recettes, leurs assurances ou les aides publiques. </t>
  </si>
  <si>
    <t>A noter que certaines petites entreprises ont des coûts fixes plus élevés et que la moyenne et insuffisamment couverts par le fonds de solidarité, le dispositif sera également ouvert aux entreprises de certains secteurs sans critère de chiffre d’affaires, pour ces entreprises il convient de mentionner le secteur depuis la liste déroulante ci-dessous.</t>
  </si>
  <si>
    <t>Pour les petites entreprises :</t>
  </si>
  <si>
    <t>Nombre de salariés :</t>
  </si>
  <si>
    <t>Calcul de l'aide :</t>
  </si>
  <si>
    <t>JANVIER</t>
  </si>
  <si>
    <t>MARS</t>
  </si>
  <si>
    <t>AVRIL</t>
  </si>
  <si>
    <t>MAI</t>
  </si>
  <si>
    <t>JUIN</t>
  </si>
  <si>
    <t>Mois</t>
  </si>
  <si>
    <t>cumul</t>
  </si>
  <si>
    <t>Total du Bilan :</t>
  </si>
  <si>
    <t>FEVRIER</t>
  </si>
  <si>
    <t>- Mars :</t>
  </si>
  <si>
    <t>Aides du fonds de solidarité du mois de Mars :</t>
  </si>
  <si>
    <t>Pré-requis pour les entreprises nouvelles : avoir débuté son activité avant le 31 Décembre 2020</t>
  </si>
  <si>
    <t>À cocher en cas d'exercice principal dans le commerce de détail avec au moins un des magasins en centre de commercial (&gt; 20 000 m² ou 10 000 m² à partir de Mars 2021) avec Fermeture administrative</t>
  </si>
  <si>
    <t>Mars 2</t>
  </si>
  <si>
    <t>De Mars 2019 :</t>
  </si>
  <si>
    <r>
      <t xml:space="preserve">À cocher en cas de fermeture administrative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</si>
  <si>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À cocher en cas de fermeture administrative en Février 2021</t>
    </r>
    <r>
      <rPr>
        <b/>
        <sz val="8"/>
        <color rgb="FF0D4174"/>
        <rFont val="Calibri"/>
        <family val="2"/>
        <scheme val="minor"/>
      </rPr>
      <t xml:space="preserve"> &amp; avoir subi une perte d'au moins 20 % sur la période (le CA réalisé sur les activités de vente à distance avec retrait en magasin ou livraison sont à prendre en compte pour le calcul de la perte)</t>
    </r>
  </si>
  <si>
    <r>
      <t xml:space="preserve">À cocher en cas de fermeture administrative au cours d'une ou plusieurs périodes en Mars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</si>
  <si>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Ces aides prévues à l'article 3-24 ne sont pas cumulables au titre du mois de Mars 2021</t>
  </si>
  <si>
    <t>* Aide de 1 500 € maximum en cas de perte d'au-moins 50 % du CA de Mars 2021</t>
  </si>
  <si>
    <t>Ou être en fermeture administrative au cours d'une ou plusieurs périodes et avoir subi une perte inférieure à 50% sur la période</t>
  </si>
  <si>
    <t>CA de référence en € :</t>
  </si>
  <si>
    <t>Fermeture partielle Administrative et 20 % de perte</t>
  </si>
  <si>
    <t>Pour les entreprises domiciliées à Mayotte, l'aide est plafonnée à 3000 €.</t>
  </si>
  <si>
    <t>* Aide de 10 000 € maximum en cas de fermeture Administrative avec 20 % de perte de CA, ou avoir une perte d'au moins 50 % et avoir une fermeture administrative partielle sur le mois, être l'une des activités mentionnées en annexe 1, ou en annexe 2 ou 3 ou dans un centre commercial mais avec une perte de CA d'au moins 80 % entre le 15/03/2020 et le 15/05/2020 ou au mois de Novembre 2020 ou une perte de 10 % entre 2019 et 2020</t>
  </si>
  <si>
    <t>A noter que concernant le CA de référence, il convient de choisir l'option retenue par l'entreprise, en cas de demande au titre du mois Février 2021</t>
  </si>
  <si>
    <t>* Aide de 15 à 20 % du CA maximum en cas de fermeture Administrative avec 20 % de perte de CA, où avoir une perte d'au moins 50 % ou 70 % et avoir une fermeture administrative partielle sur le mois, être l'une des activités mentionnées en annexe 1, ou en annexe 2 ou 3 ou dans un centre commercial et avec une perte de CA d'au moins 80 % entre le 15/03/2020 et le 15/05/2020 ou au mois de Novembre 2020 ou une perte de 10 % entre 2019 et 2020</t>
  </si>
  <si>
    <t>Aide de 15 à 20 % du CA de réf :</t>
  </si>
  <si>
    <t xml:space="preserve"> * Aide pour les entreprises domiciliées dans des zones ayant subi des mesures de couvre-feu de 21H-6H avec une perte de CA d'au moins 50% du CA en Octobre :</t>
  </si>
  <si>
    <t>Diff entre CA de réf et perte :</t>
  </si>
  <si>
    <t xml:space="preserve"> * Aide pour les entreprises domiciliées hors des zones ayant subi des mesures de couvre-feu mais ayant une perte de CA d'au moins 50 % ou 70% du CA en Octobre :</t>
  </si>
  <si>
    <t>(new***) 121- Fabrication de matériel de levage et de manutention lorsqu’au moins 50 % du chiffre d’affaires est réalisé avec une personne morale qui exploite des remontées mécaniques au sens de l’Art. L342-7 du Code du Tourisme ou (depuis le 10/04/21) des entreprises du secteur des domaines skiables</t>
  </si>
  <si>
    <t>(new***) 122- Fabrication de charpentes et autres menuiseries lorsqu’au moins 50 % du chiffre d’affaires est réalisé avec une personne morale qui exploite des remontées mécaniques au sens de l’Art. L342-7 du Code du Tourisme ou (depuis le 10/04/21) des entreprises du secteur des domaines skiables</t>
  </si>
  <si>
    <t>(new***) 123- Services d’architecture lorsqu’au moins 50 % du chiffre d’affaires est réalisé avec une personne morale qui exploite des remontées mécaniques au sens de l’Art. L342-7 du Code du Tourisme ou (depuis le 10/04/21) des entreprises du secteur des domaines skiables</t>
  </si>
  <si>
    <t>(new***) 124- Activités d’ingénierie lorsqu’au moins 50 % du chiffre d’affaires est réalisé avec une personne morale qui exploite des remontées mécaniques au sens de l’Art. L342-7 du Code du Tourisme ou (depuis le 10/04/21) des entreprises du secteur des domaines skiables</t>
  </si>
  <si>
    <t>(new***) 125- Fabrication d’autres articles en caoutchouc lorsqu’au moins 50 % du chiffre d’affaires est réalisé avec une personne morale qui exploite des remontées mécaniques au sens de l’Art. L342-7 du Code du Tourisme ou (depuis le 10/04/21) des entreprises du secteur des domaines skiables</t>
  </si>
  <si>
    <t>(new***) 126- Réparation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</si>
  <si>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(new***) 127- Fabrication d’autres machines d’usage général lorsqu’au moins 50 % du chiffre d’affaires est réalisé avec une personne morale qui exploite des remontées mécaniques au sens de l’Art. L342-7 du Code du Tourisme ou (depuis le 10/04/21) des entreprises du secteur des domaines skiables</t>
  </si>
  <si>
    <t>(new***) 128- Installation de machines et équipements mécaniques lorsqu’au moins 50 % du chiffre d’affaires est réalisé avec une personne morale qui exploite des remontées mécaniques au sens de l’Art. L342-7 du Code du Tourisme ou (depuis le 10/04/21) des entreprises du secteur des domaines skiables</t>
  </si>
  <si>
    <t>Prise en charge des coûts fixes du mois de Février :</t>
  </si>
  <si>
    <t>- justifié d’une perte d’au moins 50 % de CA en Février 2021 ;</t>
  </si>
  <si>
    <t xml:space="preserve">- Avoir un excédent brut d’exploitation négatif sur la période de Février 2021 ; </t>
  </si>
  <si>
    <t xml:space="preserve">- Avoir un excédent brut d’exploitation négatif sur la période de Janvier 2021 ; </t>
  </si>
  <si>
    <t>L'activité est exercée dans un centre commercial :</t>
  </si>
  <si>
    <t>Prise en charge des coûts fixes du mois de Mars :</t>
  </si>
  <si>
    <t>Prise en charge des coûts fixes du mois de Avril :</t>
  </si>
  <si>
    <t>Prise en charge des coûts fixes du mois de Mai :</t>
  </si>
  <si>
    <t>Prise en charge des coûts fixes du mois de Juin :</t>
  </si>
  <si>
    <t>Aides non disponible avant le 31 Juillet</t>
  </si>
  <si>
    <t>* Aide de 15 à 20 % du CA maximum en cas de fermeture Administrative avec 20 % de perte de CA, ou est l'une des activités mentionnées en annexe 1 avec une perte d'au moins 50 %, ou en annexe 2 avec une perte d'au moins 50 % ou 3 ou dans un centre commercial avec une perte d'au moins 70 % et avec une perte de CA d'au moins 80 % entre le 15/03/2020 et le 15/05/2020, au mois de Novembre 2020 ou une perte de 10 % entre 2019 et 2020</t>
  </si>
  <si>
    <t>* Aide de 10 000 € maximum en cas de fermeture Administrative avec 20 % de perte de CA, ou avoir une perte d'au moins 50 % et être l'une des activités mentionnées en annexe 1, ou en annexe 2 ou 3 ou dans un centre commercial mais avec une perte de CA d'au moins 80 % entre le 15/03/2020 et le 15/05/2020, au mois de Novembre 2020 ou une perte de 10 % entre 2019 et 2020</t>
  </si>
  <si>
    <t>Restauration traditionnelle domicilée dans une communementionnée à l'annexe 3 du décret du 30 mars 2020 relatif au fonds de solidarité</t>
  </si>
  <si>
    <t>Hôtels et hébergements similaires domicilée dans une communementionnée à l'annexe 3 du décret du 30 mars 2020 relatif au fonds de solidarité</t>
  </si>
  <si>
    <t>Hébergement touristique et autre hébergement de courte durée domicilée dans une communementionnée à l'annexe 3 du décret du 30 mars 2020 relatif au fonds de solidarité</t>
  </si>
  <si>
    <t>Salles de sport</t>
  </si>
  <si>
    <t>Salles de loisir intérieurs</t>
  </si>
  <si>
    <t>Jardins et parcs zoologiques</t>
  </si>
  <si>
    <t>Thermalisme</t>
  </si>
  <si>
    <t>Activités des parcs d'attractions et parcs à thèmes</t>
  </si>
  <si>
    <t>- Notre résumé des décrets sur le fond de solidarité (lien ici)</t>
  </si>
  <si>
    <t>- Le décret 2021-422 du 10/04/2021 (lien ici)</t>
  </si>
  <si>
    <t>- Le décret 2020-371 MAJ 12/04/2021 (lien ici)</t>
  </si>
  <si>
    <t>Chiffre d'affaire du groupe :</t>
  </si>
  <si>
    <t>Aides du fonds de solidarité du mois de Avril :</t>
  </si>
  <si>
    <t>Pré-requis pour les entreprises nouvelles : avoir débuté son activité avant le 31 Janvier 2021</t>
  </si>
  <si>
    <t>Ou être en fermeture administrative entre le 1er et le 30 Avril et avoir subi une perte inférieure à 50% sur la période</t>
  </si>
  <si>
    <r>
      <t xml:space="preserve">À cocher en cas de fermeture administrative en Avril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</si>
  <si>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r>
      <t xml:space="preserve">À cocher en cas de fermeture administrative entre le 1er et 30 Avril 2021 </t>
    </r>
    <r>
      <rPr>
        <b/>
        <sz val="8"/>
        <color rgb="FF0D4174"/>
        <rFont val="Calibri"/>
        <family val="2"/>
        <scheme val="minor"/>
      </rPr>
      <t>&amp; avoir subi une perte d'au moins 20 % sur la période (le CA réalisé sur les activités de vente à distance avec retrait en magasin ou livraison sont à prendre en compte pour le calcul de la perte)</t>
    </r>
  </si>
  <si>
    <t>Avril2</t>
  </si>
  <si>
    <t>- Avril :</t>
  </si>
  <si>
    <t>Ces aides prévues à l'article 3-26 ne sont pas cumulables au titre du mois d'Avril 2021</t>
  </si>
  <si>
    <t>* Aide de 1 500 € maximum en cas de perte d'au-moins 50 % du CA d'Avril 2021</t>
  </si>
  <si>
    <t>A noter que concernant le CA de référence, il convient de choisir l'option retenue par l'entreprise, en cas de demande au titre du mois Février 2021, ou à défaut celui de Mars 2021</t>
  </si>
  <si>
    <t>D'Avril 2019 :</t>
  </si>
  <si>
    <t>- Avoir débuté son activité avant le 01 Mars 2019 ;</t>
  </si>
  <si>
    <t>- justifié d’une perte d’au moins 50 % de CA en Mars 2021 ;</t>
  </si>
  <si>
    <t xml:space="preserve">- Avoir un excédent brut d’exploitation négatif sur la période de Mars 2021 ; </t>
  </si>
  <si>
    <t>- justifié d’une perte d’au moins 50 % de CA en Avril 2021 ;</t>
  </si>
  <si>
    <t xml:space="preserve">- Avoir un excédent brut d’exploitation négatif sur la période de Avril 2021 ; </t>
  </si>
  <si>
    <t>À cocher en cas d'exercice principal dans le commerce de détail,  à l'exception des autombiles et des motocycles, ou dans la réparation et maintenance Navale et sont domiciliées à la Réunion, la Guadeloupe, la Martinique, Saint-Martin, Saint-Barthélemy ou en Polynésie française</t>
  </si>
  <si>
    <t>Outre-mer</t>
  </si>
  <si>
    <t>* Aide de 10 000 € maximum en cas de fermeture Administrative avec 20 % de perte de CA, ou avoir une perte d'au moins 50 % et avoir une fermeture administrative entre le 1er et le 30 Avril, être l'une des activités mentionnées en annexe 1, ou en annexe 2 ou 3 ou dans un centre commercial, ou domicilié dans certaines îles d'outre-mer, mais avec une perte de CA d'au moins 80 % entre le 15/03/2020 et le 15/05/2020 ou au mois de Novembre 2020 ou une perte de 10 % entre 2019 et 2020</t>
  </si>
  <si>
    <t>* Aide de 15 à 20 % du CA maximum en cas de fermeture Administrative avec 20 % de perte de CA, où avoir une perte d'au moins 50 % ou 70 % et avoir une fermeture administrative entre le 1er et 30 Avril, être l'une des activités mentionnées en annexe 1, ou en annexe 2 ou 3 ou dans un centre commercial, ou domicilié dans certaines îles d'outre-mer, et avec une perte de CA d'au moins 80 % entre le 15/03/2020 et le 15/05/2020 ou au mois de Novembre 2020 ou une perte de 10 % entre 2019 et 2020</t>
  </si>
  <si>
    <t>L'activité est mentionnées en annexe 3 ou centre commercial outre-mer :</t>
  </si>
  <si>
    <t>L'activité est mentionnées en annexe 3 ou centre commercial, outre-mer :</t>
  </si>
  <si>
    <t>EXPLICATIONS DES AIDES ANNONCÉES 
PAR LE DÉCRET 2020-371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</si>
</sst>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 _€_-;\-* #,##0.00\ _€_-;_-* &quot;-&quot;??\ _€_-;_-@_-"/>
    <numFmt numFmtId="164" formatCode="_-* #,##0\ &quot;€&quot;_-;\-* #,##0\ &quot;€&quot;_-;_-* &quot;-&quot;??\ &quot;€&quot;_-;_-@_-"/>
  </numFmts>
  <fonts count="66">
    <font>
      <sz val="11"/>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i/>
      <sz val="11"/>
      <color rgb="FFFF0000"/>
      <name val="Calibri"/>
      <family val="2"/>
      <scheme val="minor"/>
    </font>
    <font>
      <i/>
      <sz val="12"/>
      <color theme="1"/>
      <name val="Calibri"/>
      <family val="2"/>
      <scheme val="minor"/>
    </font>
    <font>
      <b/>
      <sz val="14"/>
      <color rgb="FFC00000"/>
      <name val="Calibri"/>
      <family val="2"/>
      <scheme val="minor"/>
    </font>
    <font>
      <sz val="9"/>
      <color theme="1"/>
      <name val="DIN Light"/>
    </font>
    <font>
      <sz val="9"/>
      <color rgb="FF5B9BD5"/>
      <name val="DIN Light"/>
    </font>
    <font>
      <sz val="9"/>
      <color rgb="FF3C3C3C"/>
      <name val="DIN Light"/>
    </font>
    <font>
      <u/>
      <sz val="11"/>
      <color theme="10"/>
      <name val="Calibri"/>
      <family val="2"/>
      <scheme val="minor"/>
    </font>
    <font>
      <b/>
      <sz val="11"/>
      <color theme="0"/>
      <name val="Calibri"/>
      <family val="2"/>
      <scheme val="minor"/>
    </font>
    <font>
      <sz val="11"/>
      <color rgb="FF0D4174"/>
      <name val="Calibri"/>
      <family val="2"/>
      <scheme val="minor"/>
    </font>
    <font>
      <b/>
      <sz val="16"/>
      <color rgb="FF0D4174"/>
      <name val="Calibri"/>
      <family val="2"/>
      <scheme val="minor"/>
    </font>
    <font>
      <b/>
      <sz val="11"/>
      <color rgb="FF0D4174"/>
      <name val="Calibri"/>
      <family val="2"/>
      <scheme val="minor"/>
    </font>
    <font>
      <i/>
      <sz val="11"/>
      <color rgb="FF0D4174"/>
      <name val="Calibri"/>
      <family val="2"/>
      <scheme val="minor"/>
    </font>
    <font>
      <b/>
      <sz val="16"/>
      <color theme="0"/>
      <name val="Calibri"/>
      <family val="2"/>
      <scheme val="minor"/>
    </font>
    <font>
      <b/>
      <sz val="12"/>
      <color theme="0"/>
      <name val="Calibri"/>
      <family val="2"/>
      <scheme val="minor"/>
    </font>
    <font>
      <b/>
      <sz val="14"/>
      <color rgb="FF0D4174"/>
      <name val="Calibri"/>
      <family val="2"/>
      <scheme val="minor"/>
    </font>
    <font>
      <b/>
      <i/>
      <sz val="12"/>
      <color rgb="FF0D4174"/>
      <name val="Calibri"/>
      <family val="2"/>
      <scheme val="minor"/>
    </font>
    <font>
      <b/>
      <i/>
      <sz val="12"/>
      <color theme="0"/>
      <name val="Calibri"/>
      <family val="2"/>
      <scheme val="minor"/>
    </font>
    <font>
      <sz val="11"/>
      <color rgb="FFC00000"/>
      <name val="Calibri"/>
      <family val="2"/>
      <scheme val="minor"/>
    </font>
    <font>
      <b/>
      <sz val="18"/>
      <color theme="0"/>
      <name val="Calibri"/>
      <family val="2"/>
      <scheme val="minor"/>
    </font>
    <font>
      <b/>
      <sz val="12"/>
      <color rgb="FF0D4174"/>
      <name val="Calibri"/>
      <family val="2"/>
      <scheme val="minor"/>
    </font>
    <font>
      <sz val="11"/>
      <color rgb="FFFF0000"/>
      <name val="Calibri"/>
      <family val="2"/>
      <scheme val="minor"/>
    </font>
    <font>
      <b/>
      <u/>
      <sz val="11"/>
      <color rgb="FF0D4174"/>
      <name val="Calibri"/>
      <family val="2"/>
      <scheme val="minor"/>
    </font>
    <font>
      <sz val="11"/>
      <color rgb="FFFF0000"/>
      <name val="Calibri"/>
      <family val="2"/>
    </font>
    <font>
      <i/>
      <sz val="12"/>
      <color rgb="FF0D4174"/>
      <name val="Calibri"/>
      <family val="2"/>
      <scheme val="minor"/>
    </font>
    <font>
      <b/>
      <sz val="14"/>
      <color theme="0"/>
      <name val="Calibri"/>
      <family val="2"/>
      <scheme val="minor"/>
    </font>
    <font>
      <b/>
      <sz val="11"/>
      <color rgb="FF0D4174"/>
      <name val="Wingdings"/>
      <charset val="2"/>
    </font>
    <font>
      <sz val="11"/>
      <name val="Calibri"/>
      <family val="2"/>
      <scheme val="minor"/>
    </font>
    <font>
      <sz val="8"/>
      <color rgb="FF0D4174"/>
      <name val="Calibri"/>
      <family val="2"/>
      <scheme val="minor"/>
    </font>
    <font>
      <i/>
      <sz val="12"/>
      <color rgb="FFFF0000"/>
      <name val="Calibri"/>
      <family val="2"/>
      <scheme val="minor"/>
    </font>
    <font>
      <i/>
      <sz val="12"/>
      <color rgb="FFC00000"/>
      <name val="Calibri"/>
      <family val="2"/>
      <scheme val="minor"/>
    </font>
    <font>
      <sz val="9"/>
      <color rgb="FFFFC000"/>
      <name val="DIN Light"/>
    </font>
    <font>
      <i/>
      <sz val="8"/>
      <color rgb="FF0D4174"/>
      <name val="Calibri"/>
      <family val="2"/>
      <scheme val="minor"/>
    </font>
    <font>
      <b/>
      <i/>
      <sz val="11"/>
      <color rgb="FF0D4174"/>
      <name val="Calibri"/>
      <family val="2"/>
      <scheme val="minor"/>
    </font>
    <font>
      <i/>
      <sz val="9"/>
      <color rgb="FF0D4174"/>
      <name val="Calibri"/>
      <family val="2"/>
      <scheme val="minor"/>
    </font>
    <font>
      <b/>
      <i/>
      <sz val="22"/>
      <color rgb="FF0D4174"/>
      <name val="Calibri"/>
      <family val="2"/>
      <scheme val="minor"/>
    </font>
    <font>
      <strike/>
      <sz val="9"/>
      <color rgb="FF3C3C3C"/>
      <name val="DIN Light"/>
    </font>
    <font>
      <strike/>
      <sz val="9"/>
      <color rgb="FFED7D31"/>
      <name val="DIN Light"/>
    </font>
    <font>
      <sz val="9"/>
      <color rgb="FFED7D31"/>
      <name val="DIN Light"/>
    </font>
    <font>
      <sz val="9"/>
      <color rgb="FF70AD47"/>
      <name val="DIN Light"/>
    </font>
    <font>
      <sz val="9"/>
      <color theme="5"/>
      <name val="DIN Light"/>
    </font>
    <font>
      <sz val="9"/>
      <color theme="9"/>
      <name val="DIN Light"/>
    </font>
    <font>
      <sz val="9"/>
      <color theme="4"/>
      <name val="DIN Light"/>
    </font>
    <font>
      <b/>
      <sz val="9"/>
      <color rgb="FF70AD47"/>
      <name val="DIN Light"/>
    </font>
    <font>
      <b/>
      <sz val="9"/>
      <color rgb="FF5B9BD5"/>
      <name val="DIN Light"/>
    </font>
    <font>
      <b/>
      <strike/>
      <sz val="9"/>
      <color rgb="FFED7D31"/>
      <name val="DIN Light"/>
    </font>
    <font>
      <b/>
      <sz val="9"/>
      <color rgb="FFED7D31"/>
      <name val="DIN Light"/>
    </font>
    <font>
      <b/>
      <sz val="9"/>
      <color theme="5"/>
      <name val="DIN Light"/>
    </font>
    <font>
      <b/>
      <sz val="9"/>
      <color theme="9"/>
      <name val="DIN Light"/>
    </font>
    <font>
      <strike/>
      <sz val="9"/>
      <color theme="9"/>
      <name val="DIN Light"/>
    </font>
    <font>
      <sz val="11"/>
      <color rgb="FF7030A0"/>
      <name val="Calibri"/>
      <family val="2"/>
      <scheme val="minor"/>
    </font>
    <font>
      <b/>
      <strike/>
      <sz val="9"/>
      <color rgb="FF5B9BD5"/>
      <name val="DIN Light"/>
    </font>
    <font>
      <sz val="12"/>
      <color rgb="FF212529"/>
      <name val="Segoe UI"/>
      <family val="2"/>
    </font>
    <font>
      <b/>
      <sz val="10"/>
      <color theme="0"/>
      <name val="Calibri"/>
      <family val="2"/>
      <scheme val="minor"/>
    </font>
    <font>
      <sz val="11"/>
      <color theme="1"/>
      <name val="Wingdings"/>
      <charset val="2"/>
    </font>
    <font>
      <i/>
      <u/>
      <sz val="11"/>
      <color rgb="FF0D4174"/>
      <name val="Calibri"/>
      <family val="2"/>
      <scheme val="minor"/>
    </font>
    <font>
      <u/>
      <sz val="11"/>
      <color theme="1"/>
      <name val="Calibri"/>
      <family val="2"/>
      <scheme val="minor"/>
    </font>
    <font>
      <b/>
      <sz val="8"/>
      <color rgb="FF0D4174"/>
      <name val="Calibri"/>
      <family val="2"/>
      <scheme val="minor"/>
    </font>
    <font>
      <i/>
      <sz val="10"/>
      <color rgb="FF0D4174"/>
      <name val="Calibri"/>
      <family val="2"/>
      <scheme val="minor"/>
    </font>
    <font>
      <sz val="9"/>
      <color rgb="FF70AD47"/>
      <name val="DIN Light"/>
      <family val="3"/>
    </font>
    <font>
      <b/>
      <i/>
      <sz val="9"/>
      <color rgb="FF0D4174"/>
      <name val="Calibri"/>
      <family val="2"/>
      <scheme val="minor"/>
    </font>
    <font>
      <b/>
      <i/>
      <sz val="11"/>
      <color theme="0" tint="-0.499984740745262"/>
      <name val="Calibri"/>
      <family val="2"/>
      <scheme val="minor"/>
    </font>
    <font>
      <b/>
      <i/>
      <sz val="8"/>
      <color rgb="FF0D4174"/>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0D4174"/>
        <bgColor indexed="64"/>
      </patternFill>
    </fill>
    <fill>
      <patternFill patternType="solid">
        <fgColor rgb="FF8ECFDD"/>
        <bgColor indexed="64"/>
      </patternFill>
    </fill>
    <fill>
      <patternFill patternType="solid">
        <fgColor rgb="FFFAC230"/>
        <bgColor indexed="64"/>
      </patternFill>
    </fill>
    <fill>
      <patternFill patternType="solid">
        <fgColor theme="0" tint="-0.499984740745262"/>
        <bgColor indexed="64"/>
      </patternFill>
    </fill>
    <fill>
      <patternFill patternType="solid">
        <fgColor rgb="FFFFFF00"/>
        <bgColor indexed="64"/>
      </patternFill>
    </fill>
    <fill>
      <patternFill patternType="solid">
        <fgColor rgb="FFFFC000"/>
        <bgColor indexed="64"/>
      </patternFill>
    </fill>
  </fills>
  <borders count="44">
    <border>
      <left/>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medium">
        <color rgb="FF0D4174"/>
      </bottom>
      <diagonal/>
    </border>
    <border>
      <left style="medium">
        <color rgb="FF0D4174"/>
      </left>
      <right style="medium">
        <color rgb="FF0D4174"/>
      </right>
      <top style="medium">
        <color rgb="FF0D4174"/>
      </top>
      <bottom style="medium">
        <color rgb="FF0D4174"/>
      </bottom>
      <diagonal/>
    </border>
    <border>
      <left style="medium">
        <color rgb="FF0D4174"/>
      </left>
      <right/>
      <top style="medium">
        <color rgb="FF0D4174"/>
      </top>
      <bottom/>
      <diagonal/>
    </border>
    <border>
      <left/>
      <right/>
      <top style="medium">
        <color rgb="FF0D4174"/>
      </top>
      <bottom/>
      <diagonal/>
    </border>
    <border>
      <left/>
      <right style="medium">
        <color rgb="FF0D4174"/>
      </right>
      <top style="medium">
        <color rgb="FF0D4174"/>
      </top>
      <bottom/>
      <diagonal/>
    </border>
    <border>
      <left/>
      <right/>
      <top/>
      <bottom style="thin">
        <color rgb="FF0D4174"/>
      </bottom>
      <diagonal/>
    </border>
    <border>
      <left/>
      <right style="thin">
        <color rgb="FF0D4174"/>
      </right>
      <top/>
      <bottom/>
      <diagonal/>
    </border>
    <border>
      <left style="thin">
        <color rgb="FF0D4174"/>
      </left>
      <right/>
      <top/>
      <bottom style="thin">
        <color rgb="FF0D4174"/>
      </bottom>
      <diagonal/>
    </border>
    <border>
      <left/>
      <right style="thin">
        <color rgb="FF0D4174"/>
      </right>
      <top style="thin">
        <color rgb="FF0D4174"/>
      </top>
      <bottom/>
      <diagonal/>
    </border>
    <border>
      <left/>
      <right/>
      <top style="thin">
        <color rgb="FF0D4174"/>
      </top>
      <bottom/>
      <diagonal/>
    </border>
    <border>
      <left/>
      <right style="thin">
        <color rgb="FF0D4174"/>
      </right>
      <top/>
      <bottom style="thin">
        <color rgb="FF0D4174"/>
      </bottom>
      <diagonal/>
    </border>
    <border>
      <left style="medium">
        <color rgb="FF0D4174"/>
      </left>
      <right/>
      <top style="medium">
        <color rgb="FF0D4174"/>
      </top>
      <bottom style="medium">
        <color rgb="FF0D4174"/>
      </bottom>
      <diagonal/>
    </border>
    <border>
      <left/>
      <right style="medium">
        <color rgb="FF0D4174"/>
      </right>
      <top style="medium">
        <color rgb="FF0D4174"/>
      </top>
      <bottom style="medium">
        <color rgb="FF0D4174"/>
      </bottom>
      <diagonal/>
    </border>
    <border>
      <left/>
      <right/>
      <top style="medium">
        <color rgb="FF0D4174"/>
      </top>
      <bottom style="medium">
        <color rgb="FF0D4174"/>
      </bottom>
      <diagonal/>
    </border>
    <border>
      <left style="medium">
        <color rgb="FF0D4174"/>
      </left>
      <right/>
      <top/>
      <bottom/>
      <diagonal/>
    </border>
    <border>
      <left/>
      <right style="medium">
        <color rgb="FF0D4174"/>
      </right>
      <top/>
      <bottom/>
      <diagonal/>
    </border>
    <border>
      <left style="medium">
        <color rgb="FF0D4174"/>
      </left>
      <right/>
      <top/>
      <bottom style="medium">
        <color rgb="FF0D4174"/>
      </bottom>
      <diagonal/>
    </border>
    <border>
      <left/>
      <right style="medium">
        <color rgb="FF0D4174"/>
      </right>
      <top/>
      <bottom style="medium">
        <color rgb="FF0D417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D4174"/>
      </left>
      <right style="thin">
        <color rgb="FF0D4174"/>
      </right>
      <top/>
      <bottom/>
      <diagonal/>
    </border>
    <border>
      <left style="thin">
        <color rgb="FF0D4174"/>
      </left>
      <right/>
      <top style="thin">
        <color rgb="FF0D4174"/>
      </top>
      <bottom/>
      <diagonal/>
    </border>
    <border>
      <left style="thin">
        <color rgb="FF0D4174"/>
      </left>
      <right/>
      <top/>
      <bottom/>
      <diagonal/>
    </border>
    <border>
      <left style="thin">
        <color rgb="FF0D4174"/>
      </left>
      <right/>
      <top style="thin">
        <color rgb="FF0D4174"/>
      </top>
      <bottom style="thin">
        <color rgb="FF0D4174"/>
      </bottom>
      <diagonal/>
    </border>
    <border>
      <left/>
      <right style="thin">
        <color rgb="FF0D4174"/>
      </right>
      <top style="thin">
        <color rgb="FF0D4174"/>
      </top>
      <bottom style="thin">
        <color rgb="FF0D417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0D4174"/>
      </top>
      <bottom style="thin">
        <color rgb="FF0D417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cellStyleXfs>
  <cellXfs count="564">
    <xf numFmtId="0" fontId="0" fillId="0" borderId="0" xfId="0"/>
    <xf numFmtId="0" fontId="0" fillId="0" borderId="0" xfId="0" applyBorder="1"/>
    <xf numFmtId="14" fontId="0" fillId="0" borderId="0" xfId="0" applyNumberFormat="1"/>
    <xf numFmtId="0" fontId="0" fillId="0" borderId="0" xfId="0" quotePrefix="1"/>
    <xf numFmtId="0" fontId="0" fillId="0" borderId="1" xfId="0" applyBorder="1"/>
    <xf numFmtId="0" fontId="0" fillId="0" borderId="0" xfId="0" applyFill="1"/>
    <xf numFmtId="44" fontId="0" fillId="0" borderId="0" xfId="0" applyNumberFormat="1"/>
    <xf numFmtId="44" fontId="0" fillId="0" borderId="0" xfId="0" applyNumberFormat="1" applyBorder="1"/>
    <xf numFmtId="0" fontId="0" fillId="0" borderId="0" xfId="0" applyFill="1" applyBorder="1"/>
    <xf numFmtId="0" fontId="0" fillId="0" borderId="0" xfId="0"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7" xfId="0" applyBorder="1"/>
    <xf numFmtId="0" fontId="0" fillId="0" borderId="6" xfId="0" applyBorder="1"/>
    <xf numFmtId="0" fontId="0" fillId="0" borderId="8" xfId="0" applyBorder="1"/>
    <xf numFmtId="0" fontId="3" fillId="0" borderId="0" xfId="0" applyFont="1"/>
    <xf numFmtId="44" fontId="0" fillId="0" borderId="0" xfId="0" applyNumberFormat="1" applyBorder="1" applyAlignment="1">
      <alignment horizontal="right"/>
    </xf>
    <xf numFmtId="9" fontId="0" fillId="0" borderId="0" xfId="2" applyFont="1" applyBorder="1" applyAlignment="1">
      <alignment horizontal="right"/>
    </xf>
    <xf numFmtId="44" fontId="0" fillId="0" borderId="7" xfId="1" applyFont="1" applyBorder="1"/>
    <xf numFmtId="164" fontId="0" fillId="0" borderId="0" xfId="1" applyNumberFormat="1" applyFont="1" applyBorder="1"/>
    <xf numFmtId="164" fontId="0" fillId="0" borderId="7" xfId="1" applyNumberFormat="1" applyFont="1" applyBorder="1"/>
    <xf numFmtId="164" fontId="0" fillId="0" borderId="0" xfId="1" applyNumberFormat="1" applyFont="1" applyBorder="1" applyAlignment="1">
      <alignment horizontal="right"/>
    </xf>
    <xf numFmtId="0" fontId="5" fillId="0" borderId="0" xfId="0" applyFont="1" applyAlignment="1">
      <alignment horizontal="center"/>
    </xf>
    <xf numFmtId="44" fontId="0" fillId="0" borderId="7" xfId="0" applyNumberFormat="1" applyBorder="1"/>
    <xf numFmtId="0" fontId="0" fillId="0" borderId="5" xfId="0" applyBorder="1" applyAlignment="1">
      <alignment horizontal="center"/>
    </xf>
    <xf numFmtId="9" fontId="0" fillId="0" borderId="5" xfId="2" applyFont="1" applyBorder="1"/>
    <xf numFmtId="9" fontId="0" fillId="0" borderId="5" xfId="2" applyFont="1" applyBorder="1" applyAlignment="1">
      <alignment horizontal="right"/>
    </xf>
    <xf numFmtId="9" fontId="0" fillId="0" borderId="7" xfId="2" applyFont="1" applyBorder="1" applyAlignment="1">
      <alignment horizontal="right"/>
    </xf>
    <xf numFmtId="9" fontId="0" fillId="0" borderId="7" xfId="2" applyFont="1" applyFill="1" applyBorder="1"/>
    <xf numFmtId="0" fontId="4" fillId="0" borderId="0" xfId="0" applyFont="1" applyAlignment="1">
      <alignment horizontal="left" vertical="top" wrapText="1"/>
    </xf>
    <xf numFmtId="0" fontId="7" fillId="0" borderId="0" xfId="0" applyFont="1" applyAlignment="1">
      <alignment vertical="center"/>
    </xf>
    <xf numFmtId="0" fontId="7" fillId="2"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44" fontId="0" fillId="0" borderId="5" xfId="0" applyNumberFormat="1" applyBorder="1"/>
    <xf numFmtId="44" fontId="0" fillId="0" borderId="0" xfId="1" applyFont="1" applyBorder="1" applyAlignment="1">
      <alignment horizontal="right"/>
    </xf>
    <xf numFmtId="10" fontId="0" fillId="0" borderId="0" xfId="2" applyNumberFormat="1" applyFont="1" applyBorder="1"/>
    <xf numFmtId="0" fontId="4" fillId="0" borderId="0" xfId="0" applyFont="1" applyAlignment="1">
      <alignment vertical="top"/>
    </xf>
    <xf numFmtId="0" fontId="12" fillId="0" borderId="0" xfId="0" applyFont="1"/>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xf numFmtId="0" fontId="12" fillId="0" borderId="0" xfId="0" applyFont="1" applyBorder="1"/>
    <xf numFmtId="0" fontId="12" fillId="0" borderId="0" xfId="0" applyFont="1" applyAlignment="1">
      <alignment horizontal="left"/>
    </xf>
    <xf numFmtId="0" fontId="12" fillId="0" borderId="7" xfId="0" applyFont="1" applyBorder="1"/>
    <xf numFmtId="0" fontId="12" fillId="0" borderId="0" xfId="0" applyFont="1" applyAlignment="1">
      <alignment horizontal="center"/>
    </xf>
    <xf numFmtId="0" fontId="12" fillId="0" borderId="0" xfId="0" applyFont="1" applyBorder="1" applyAlignment="1">
      <alignment horizontal="center"/>
    </xf>
    <xf numFmtId="0" fontId="12" fillId="0" borderId="0" xfId="0" applyFont="1" applyAlignment="1"/>
    <xf numFmtId="44" fontId="15" fillId="0" borderId="0" xfId="1" applyFont="1"/>
    <xf numFmtId="44" fontId="12" fillId="0" borderId="0" xfId="1" applyFont="1" applyBorder="1"/>
    <xf numFmtId="0" fontId="15" fillId="0" borderId="0" xfId="0" quotePrefix="1" applyFont="1" applyAlignment="1">
      <alignment horizontal="right"/>
    </xf>
    <xf numFmtId="44" fontId="12" fillId="0" borderId="0" xfId="0" applyNumberFormat="1" applyFont="1"/>
    <xf numFmtId="44" fontId="12" fillId="0" borderId="0" xfId="1" applyFont="1"/>
    <xf numFmtId="0" fontId="15" fillId="0" borderId="0" xfId="0" applyFont="1" applyBorder="1"/>
    <xf numFmtId="0" fontId="15" fillId="0" borderId="0" xfId="0" applyFont="1" applyAlignment="1">
      <alignment horizontal="left"/>
    </xf>
    <xf numFmtId="0" fontId="15" fillId="0" borderId="0" xfId="0" applyFont="1" applyAlignment="1">
      <alignment horizontal="center"/>
    </xf>
    <xf numFmtId="0" fontId="12" fillId="0" borderId="0" xfId="0" applyFont="1" applyFill="1"/>
    <xf numFmtId="0" fontId="15" fillId="0" borderId="0" xfId="0" applyFont="1" applyFill="1" applyAlignment="1">
      <alignment horizontal="left"/>
    </xf>
    <xf numFmtId="0" fontId="15" fillId="0" borderId="0" xfId="0" applyFont="1"/>
    <xf numFmtId="9" fontId="12" fillId="0" borderId="0" xfId="2" applyFont="1" applyBorder="1"/>
    <xf numFmtId="9" fontId="12" fillId="0" borderId="0" xfId="2" applyFont="1" applyFill="1"/>
    <xf numFmtId="0" fontId="5" fillId="0" borderId="12" xfId="0" applyFont="1" applyBorder="1" applyAlignment="1">
      <alignment horizontal="center"/>
    </xf>
    <xf numFmtId="0" fontId="12" fillId="0" borderId="14" xfId="0" applyFont="1" applyBorder="1"/>
    <xf numFmtId="0" fontId="12" fillId="0" borderId="15" xfId="0" applyFont="1" applyBorder="1"/>
    <xf numFmtId="0" fontId="12" fillId="0" borderId="16" xfId="0" applyFont="1" applyBorder="1"/>
    <xf numFmtId="0" fontId="12" fillId="0" borderId="14" xfId="0" applyFont="1" applyBorder="1" applyAlignment="1"/>
    <xf numFmtId="0" fontId="0" fillId="0" borderId="15" xfId="0" applyBorder="1"/>
    <xf numFmtId="0" fontId="12" fillId="0" borderId="18" xfId="0" applyFont="1" applyBorder="1"/>
    <xf numFmtId="0" fontId="0" fillId="0" borderId="17" xfId="0" applyBorder="1"/>
    <xf numFmtId="0" fontId="15" fillId="0" borderId="15" xfId="0" applyFont="1" applyBorder="1"/>
    <xf numFmtId="0" fontId="0" fillId="0" borderId="15" xfId="0" applyBorder="1" applyAlignment="1">
      <alignment vertical="center" wrapText="1"/>
    </xf>
    <xf numFmtId="0" fontId="2" fillId="0" borderId="15" xfId="0" applyFont="1" applyBorder="1" applyAlignment="1">
      <alignment vertical="center" wrapText="1"/>
    </xf>
    <xf numFmtId="0" fontId="0" fillId="0" borderId="15" xfId="0" applyBorder="1" applyAlignment="1">
      <alignment horizontal="center" vertical="center" wrapText="1"/>
    </xf>
    <xf numFmtId="0" fontId="0" fillId="0" borderId="19" xfId="0" applyBorder="1"/>
    <xf numFmtId="0" fontId="14" fillId="0" borderId="0" xfId="0" applyFont="1"/>
    <xf numFmtId="0" fontId="16" fillId="0" borderId="0" xfId="0" applyFont="1" applyFill="1" applyAlignment="1">
      <alignment vertical="center"/>
    </xf>
    <xf numFmtId="0" fontId="0" fillId="0" borderId="14" xfId="0" applyBorder="1"/>
    <xf numFmtId="0" fontId="0" fillId="0" borderId="14" xfId="0" applyFill="1" applyBorder="1"/>
    <xf numFmtId="0" fontId="6" fillId="0" borderId="14" xfId="0" applyFont="1" applyBorder="1" applyAlignment="1">
      <alignment horizontal="center" wrapText="1"/>
    </xf>
    <xf numFmtId="0" fontId="3" fillId="3" borderId="24" xfId="0" applyFont="1" applyFill="1" applyBorder="1"/>
    <xf numFmtId="0" fontId="3" fillId="3" borderId="23" xfId="0" applyFont="1" applyFill="1" applyBorder="1"/>
    <xf numFmtId="0" fontId="3" fillId="3" borderId="25" xfId="0" applyFont="1" applyFill="1" applyBorder="1"/>
    <xf numFmtId="0" fontId="3" fillId="3" borderId="9" xfId="0" applyFont="1" applyFill="1" applyBorder="1"/>
    <xf numFmtId="0" fontId="3" fillId="3" borderId="26" xfId="0" applyFont="1" applyFill="1" applyBorder="1"/>
    <xf numFmtId="0" fontId="12" fillId="0" borderId="0" xfId="0" applyFont="1" applyBorder="1" applyAlignment="1">
      <alignment horizontal="left"/>
    </xf>
    <xf numFmtId="0" fontId="14" fillId="0" borderId="0" xfId="0" applyFont="1" applyAlignment="1">
      <alignment horizontal="right"/>
    </xf>
    <xf numFmtId="0" fontId="21" fillId="0" borderId="0" xfId="0" applyFont="1" applyAlignment="1">
      <alignment horizontal="left"/>
    </xf>
    <xf numFmtId="0" fontId="21" fillId="0" borderId="15" xfId="0" applyFont="1" applyBorder="1"/>
    <xf numFmtId="0" fontId="21" fillId="0" borderId="0" xfId="0" applyFont="1"/>
    <xf numFmtId="0" fontId="12" fillId="0" borderId="0" xfId="0" applyFont="1" applyFill="1" applyBorder="1"/>
    <xf numFmtId="0" fontId="20" fillId="0" borderId="0" xfId="0" applyFont="1" applyFill="1" applyAlignment="1">
      <alignment vertical="top" wrapText="1"/>
    </xf>
    <xf numFmtId="0" fontId="20" fillId="0" borderId="0" xfId="0" applyFont="1" applyFill="1" applyAlignment="1">
      <alignment horizontal="left" vertical="top" wrapText="1"/>
    </xf>
    <xf numFmtId="0" fontId="17" fillId="0" borderId="0" xfId="0" applyFont="1" applyFill="1" applyBorder="1"/>
    <xf numFmtId="0" fontId="17" fillId="0" borderId="0" xfId="0" applyFont="1" applyFill="1"/>
    <xf numFmtId="0" fontId="19"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15" fillId="0" borderId="0" xfId="0" applyFont="1" applyAlignment="1">
      <alignment horizontal="left"/>
    </xf>
    <xf numFmtId="0" fontId="24" fillId="0" borderId="0" xfId="0" applyFont="1"/>
    <xf numFmtId="0" fontId="15" fillId="0" borderId="0" xfId="0" applyFont="1" applyAlignment="1">
      <alignment horizontal="center"/>
    </xf>
    <xf numFmtId="0" fontId="22" fillId="0" borderId="0" xfId="3" applyFont="1" applyFill="1" applyBorder="1" applyAlignment="1">
      <alignment horizontal="center" vertical="center"/>
    </xf>
    <xf numFmtId="0" fontId="26" fillId="0" borderId="0" xfId="0" applyFont="1" applyAlignment="1">
      <alignment vertical="top"/>
    </xf>
    <xf numFmtId="0" fontId="5" fillId="0" borderId="0" xfId="0" applyFont="1" applyBorder="1" applyAlignment="1">
      <alignment horizontal="center"/>
    </xf>
    <xf numFmtId="0" fontId="18" fillId="0" borderId="0" xfId="0" applyFont="1" applyFill="1" applyBorder="1" applyAlignment="1">
      <alignment vertical="center" wrapText="1"/>
    </xf>
    <xf numFmtId="0" fontId="17" fillId="3" borderId="0" xfId="0" applyFont="1" applyFill="1" applyAlignment="1">
      <alignment vertical="top" wrapText="1"/>
    </xf>
    <xf numFmtId="0" fontId="11" fillId="3" borderId="0" xfId="0" applyFont="1" applyFill="1"/>
    <xf numFmtId="0" fontId="0" fillId="0" borderId="0" xfId="0" applyBorder="1" applyAlignment="1">
      <alignment horizontal="center"/>
    </xf>
    <xf numFmtId="0" fontId="0" fillId="0" borderId="0" xfId="0" applyAlignment="1">
      <alignment horizontal="center"/>
    </xf>
    <xf numFmtId="0" fontId="24" fillId="0" borderId="0" xfId="0" applyFont="1" applyBorder="1"/>
    <xf numFmtId="0" fontId="24" fillId="0" borderId="7" xfId="0" applyFont="1" applyBorder="1"/>
    <xf numFmtId="0" fontId="19" fillId="0" borderId="0" xfId="0" applyFont="1" applyAlignment="1">
      <alignment horizontal="center"/>
    </xf>
    <xf numFmtId="0" fontId="17" fillId="3" borderId="0" xfId="0" applyFont="1" applyFill="1" applyAlignment="1">
      <alignment vertical="center" wrapText="1"/>
    </xf>
    <xf numFmtId="0" fontId="12" fillId="0" borderId="28" xfId="0" applyFont="1" applyBorder="1"/>
    <xf numFmtId="44" fontId="12" fillId="5" borderId="10" xfId="1" applyFont="1" applyFill="1" applyBorder="1" applyProtection="1">
      <protection locked="0"/>
    </xf>
    <xf numFmtId="0" fontId="15" fillId="0" borderId="0" xfId="0" applyFont="1" applyAlignment="1">
      <alignment horizontal="left"/>
    </xf>
    <xf numFmtId="0" fontId="15" fillId="0" borderId="0" xfId="0" applyFont="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7" xfId="0" applyBorder="1" applyAlignment="1">
      <alignment horizontal="right"/>
    </xf>
    <xf numFmtId="0" fontId="27" fillId="0" borderId="0" xfId="0" applyFont="1" applyAlignment="1">
      <alignment horizontal="left"/>
    </xf>
    <xf numFmtId="0" fontId="15" fillId="0" borderId="0" xfId="0" applyFont="1" applyFill="1"/>
    <xf numFmtId="0" fontId="2" fillId="0" borderId="0" xfId="0" applyFont="1"/>
    <xf numFmtId="9" fontId="15" fillId="0" borderId="0" xfId="2" applyFont="1" applyFill="1"/>
    <xf numFmtId="0" fontId="0" fillId="0" borderId="5" xfId="0" applyFill="1" applyBorder="1" applyAlignment="1">
      <alignment vertical="center"/>
    </xf>
    <xf numFmtId="0" fontId="0" fillId="0" borderId="5" xfId="0" applyBorder="1" applyAlignment="1">
      <alignment vertical="center"/>
    </xf>
    <xf numFmtId="0" fontId="0" fillId="0" borderId="7" xfId="0" applyBorder="1" applyAlignment="1">
      <alignment horizontal="center"/>
    </xf>
    <xf numFmtId="0" fontId="0" fillId="0" borderId="2" xfId="0" applyFill="1" applyBorder="1"/>
    <xf numFmtId="0" fontId="0" fillId="0" borderId="2" xfId="0" quotePrefix="1" applyBorder="1"/>
    <xf numFmtId="0" fontId="0" fillId="0" borderId="0" xfId="0" applyFill="1" applyBorder="1" applyAlignment="1">
      <alignment horizontal="right" vertical="center"/>
    </xf>
    <xf numFmtId="0" fontId="0" fillId="0" borderId="0" xfId="0" applyBorder="1" applyAlignment="1"/>
    <xf numFmtId="0" fontId="15" fillId="0" borderId="0" xfId="0" applyFont="1" applyAlignment="1">
      <alignment wrapText="1"/>
    </xf>
    <xf numFmtId="9" fontId="0" fillId="0" borderId="0" xfId="2" applyFont="1" applyFill="1" applyBorder="1" applyAlignment="1">
      <alignment horizontal="right"/>
    </xf>
    <xf numFmtId="164" fontId="0" fillId="0" borderId="5" xfId="1" applyNumberFormat="1" applyFont="1" applyBorder="1"/>
    <xf numFmtId="164" fontId="0" fillId="0" borderId="5" xfId="1" applyNumberFormat="1" applyFont="1" applyBorder="1" applyAlignment="1">
      <alignment horizontal="right"/>
    </xf>
    <xf numFmtId="0" fontId="0" fillId="0" borderId="5" xfId="0" applyBorder="1" applyAlignment="1">
      <alignment horizontal="right"/>
    </xf>
    <xf numFmtId="0" fontId="21" fillId="0" borderId="0" xfId="0" applyFont="1" applyAlignment="1">
      <alignment vertical="center" wrapText="1"/>
    </xf>
    <xf numFmtId="0" fontId="11" fillId="3" borderId="0" xfId="0" quotePrefix="1" applyFont="1" applyFill="1" applyBorder="1"/>
    <xf numFmtId="0" fontId="11" fillId="3" borderId="0" xfId="0" applyFont="1" applyFill="1" applyBorder="1"/>
    <xf numFmtId="0" fontId="30" fillId="0" borderId="0" xfId="0" applyFont="1" applyBorder="1"/>
    <xf numFmtId="44" fontId="30" fillId="0" borderId="0" xfId="0" applyNumberFormat="1" applyFont="1" applyBorder="1" applyAlignment="1">
      <alignment horizontal="right"/>
    </xf>
    <xf numFmtId="164" fontId="30" fillId="0" borderId="0" xfId="1" applyNumberFormat="1" applyFont="1" applyBorder="1" applyAlignment="1">
      <alignment horizontal="right"/>
    </xf>
    <xf numFmtId="164" fontId="30" fillId="0" borderId="7" xfId="1" applyNumberFormat="1" applyFont="1" applyBorder="1"/>
    <xf numFmtId="44" fontId="30" fillId="0" borderId="0" xfId="1" applyFont="1" applyBorder="1" applyAlignment="1">
      <alignment horizontal="right"/>
    </xf>
    <xf numFmtId="0" fontId="30" fillId="0" borderId="0" xfId="0" applyFont="1" applyBorder="1" applyAlignment="1">
      <alignment horizontal="right"/>
    </xf>
    <xf numFmtId="0" fontId="30" fillId="0" borderId="7" xfId="0" applyFont="1" applyBorder="1"/>
    <xf numFmtId="9" fontId="30" fillId="0" borderId="5" xfId="2" applyFont="1" applyBorder="1" applyAlignment="1">
      <alignment horizontal="right"/>
    </xf>
    <xf numFmtId="0" fontId="15" fillId="0" borderId="0" xfId="0" applyFont="1" applyAlignment="1">
      <alignment horizontal="left"/>
    </xf>
    <xf numFmtId="0" fontId="0" fillId="0" borderId="0" xfId="0" applyBorder="1" applyAlignment="1">
      <alignment horizontal="right"/>
    </xf>
    <xf numFmtId="0" fontId="14" fillId="0" borderId="0" xfId="0" applyFont="1" applyAlignment="1">
      <alignment horizontal="left"/>
    </xf>
    <xf numFmtId="0" fontId="0" fillId="0" borderId="35" xfId="0" applyBorder="1"/>
    <xf numFmtId="0" fontId="0" fillId="0" borderId="35" xfId="0" applyBorder="1" applyAlignment="1">
      <alignment horizontal="left"/>
    </xf>
    <xf numFmtId="0" fontId="0" fillId="0" borderId="35" xfId="0" applyBorder="1" applyAlignment="1">
      <alignment vertical="center" wrapText="1"/>
    </xf>
    <xf numFmtId="0" fontId="2" fillId="0" borderId="35" xfId="0" applyFont="1" applyBorder="1" applyAlignment="1">
      <alignment vertical="center" wrapText="1"/>
    </xf>
    <xf numFmtId="44" fontId="0" fillId="0" borderId="35" xfId="1" applyFont="1" applyBorder="1"/>
    <xf numFmtId="0" fontId="0" fillId="0" borderId="35" xfId="0" applyBorder="1" applyAlignment="1">
      <alignment horizontal="center" vertical="center" wrapText="1"/>
    </xf>
    <xf numFmtId="0" fontId="12" fillId="0" borderId="14" xfId="0" applyFont="1" applyBorder="1" applyAlignment="1">
      <alignment horizontal="left"/>
    </xf>
    <xf numFmtId="0" fontId="12" fillId="0" borderId="36" xfId="0" applyFont="1" applyBorder="1"/>
    <xf numFmtId="0" fontId="12" fillId="0" borderId="0" xfId="0" quotePrefix="1" applyFont="1" applyAlignment="1"/>
    <xf numFmtId="16" fontId="12" fillId="0" borderId="0" xfId="0" quotePrefix="1" applyNumberFormat="1" applyFont="1" applyAlignment="1">
      <alignment vertical="top" wrapText="1"/>
    </xf>
    <xf numFmtId="16" fontId="12" fillId="0" borderId="0" xfId="0" quotePrefix="1" applyNumberFormat="1" applyFont="1" applyAlignment="1">
      <alignment vertical="top"/>
    </xf>
    <xf numFmtId="0" fontId="15" fillId="0" borderId="0" xfId="0" applyFont="1" applyAlignment="1">
      <alignment horizontal="left"/>
    </xf>
    <xf numFmtId="0" fontId="0" fillId="0" borderId="0" xfId="0"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0" fillId="0" borderId="7" xfId="0" applyBorder="1" applyAlignment="1">
      <alignment horizontal="right"/>
    </xf>
    <xf numFmtId="0" fontId="0" fillId="0" borderId="0" xfId="0" applyBorder="1" applyAlignment="1">
      <alignment horizontal="center"/>
    </xf>
    <xf numFmtId="0" fontId="13" fillId="0" borderId="0" xfId="0" applyFont="1" applyBorder="1" applyAlignment="1">
      <alignment horizontal="center" vertical="center" wrapText="1"/>
    </xf>
    <xf numFmtId="0" fontId="12" fillId="0" borderId="0" xfId="0" quotePrefix="1" applyFont="1"/>
    <xf numFmtId="0" fontId="32" fillId="0" borderId="0" xfId="0" applyFont="1" applyBorder="1" applyAlignment="1">
      <alignment horizontal="center"/>
    </xf>
    <xf numFmtId="0" fontId="27" fillId="0" borderId="14" xfId="0" applyFont="1" applyBorder="1" applyAlignment="1">
      <alignment horizontal="left"/>
    </xf>
    <xf numFmtId="0" fontId="13" fillId="0" borderId="14" xfId="0" applyFont="1" applyBorder="1" applyAlignment="1">
      <alignment horizontal="center" vertical="center" wrapText="1"/>
    </xf>
    <xf numFmtId="0" fontId="12" fillId="0" borderId="0" xfId="0" applyFont="1" applyBorder="1" applyAlignment="1">
      <alignment horizontal="left" vertical="top"/>
    </xf>
    <xf numFmtId="0" fontId="15" fillId="0" borderId="0" xfId="0" applyFont="1" applyBorder="1" applyAlignment="1">
      <alignment horizontal="left" vertical="top"/>
    </xf>
    <xf numFmtId="0" fontId="33" fillId="0" borderId="0" xfId="0" applyFont="1" applyBorder="1" applyAlignment="1">
      <alignment horizontal="center"/>
    </xf>
    <xf numFmtId="0" fontId="12" fillId="0" borderId="14" xfId="0" applyFont="1" applyBorder="1" applyAlignment="1">
      <alignment horizontal="left" vertical="top"/>
    </xf>
    <xf numFmtId="0" fontId="15" fillId="0" borderId="0" xfId="0" applyFont="1" applyAlignment="1">
      <alignment horizontal="left" vertical="top"/>
    </xf>
    <xf numFmtId="0" fontId="0" fillId="0" borderId="0" xfId="0" applyFont="1" applyFill="1" applyAlignment="1">
      <alignment horizontal="left" vertical="top"/>
    </xf>
    <xf numFmtId="0" fontId="0" fillId="0" borderId="0" xfId="0" applyFont="1" applyAlignment="1">
      <alignment horizontal="left" vertical="top"/>
    </xf>
    <xf numFmtId="0" fontId="0" fillId="0" borderId="0" xfId="0" applyBorder="1" applyAlignment="1">
      <alignment horizontal="right"/>
    </xf>
    <xf numFmtId="0" fontId="30" fillId="0" borderId="0" xfId="0" applyFont="1" applyBorder="1" applyAlignment="1">
      <alignment horizontal="right"/>
    </xf>
    <xf numFmtId="0" fontId="27" fillId="0" borderId="24" xfId="0" applyFont="1" applyBorder="1" applyAlignment="1">
      <alignment horizontal="left"/>
    </xf>
    <xf numFmtId="44" fontId="12" fillId="0" borderId="14" xfId="1" applyFont="1" applyBorder="1"/>
    <xf numFmtId="0" fontId="12" fillId="0" borderId="0" xfId="0" applyFont="1" applyBorder="1" applyAlignment="1">
      <alignment vertical="top" wrapText="1"/>
    </xf>
    <xf numFmtId="0" fontId="12" fillId="0" borderId="0" xfId="0" applyFont="1" applyBorder="1" applyAlignment="1">
      <alignment vertical="top"/>
    </xf>
    <xf numFmtId="0" fontId="12" fillId="0" borderId="37" xfId="0" applyFont="1" applyBorder="1"/>
    <xf numFmtId="44" fontId="15" fillId="0" borderId="0" xfId="1" applyFont="1" applyBorder="1"/>
    <xf numFmtId="0" fontId="15" fillId="0" borderId="14" xfId="0" applyFont="1" applyBorder="1" applyAlignment="1">
      <alignment horizontal="right"/>
    </xf>
    <xf numFmtId="0" fontId="15" fillId="0" borderId="0" xfId="0" applyFont="1" applyBorder="1" applyAlignment="1"/>
    <xf numFmtId="44" fontId="0" fillId="0" borderId="7" xfId="0" applyNumberFormat="1" applyBorder="1" applyAlignment="1">
      <alignment horizontal="right"/>
    </xf>
    <xf numFmtId="0" fontId="30" fillId="0" borderId="0" xfId="0" applyFont="1" applyBorder="1" applyAlignment="1">
      <alignment horizontal="right"/>
    </xf>
    <xf numFmtId="0" fontId="27" fillId="0" borderId="0" xfId="0" applyFont="1" applyAlignment="1">
      <alignment horizontal="left"/>
    </xf>
    <xf numFmtId="164" fontId="30" fillId="0" borderId="5" xfId="1" applyNumberFormat="1" applyFont="1" applyBorder="1" applyAlignment="1">
      <alignment horizontal="right"/>
    </xf>
    <xf numFmtId="164" fontId="30" fillId="0" borderId="0" xfId="1" applyNumberFormat="1" applyFont="1" applyBorder="1"/>
    <xf numFmtId="0" fontId="30" fillId="0" borderId="5" xfId="0" applyFont="1" applyBorder="1" applyAlignment="1">
      <alignment horizontal="right"/>
    </xf>
    <xf numFmtId="9" fontId="30" fillId="0" borderId="0" xfId="2" applyFont="1" applyBorder="1" applyAlignment="1">
      <alignment horizontal="right"/>
    </xf>
    <xf numFmtId="0" fontId="0" fillId="0" borderId="0" xfId="0" applyAlignment="1">
      <alignment horizontal="left"/>
    </xf>
    <xf numFmtId="0" fontId="0" fillId="0" borderId="0" xfId="0" applyAlignment="1">
      <alignment horizontal="right"/>
    </xf>
    <xf numFmtId="0" fontId="12" fillId="0" borderId="0" xfId="0" applyFont="1" applyBorder="1" applyAlignment="1">
      <alignment horizontal="left" vertical="top"/>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center"/>
    </xf>
    <xf numFmtId="0" fontId="27" fillId="0" borderId="0" xfId="0" applyFont="1" applyAlignment="1">
      <alignment horizontal="left"/>
    </xf>
    <xf numFmtId="0" fontId="21" fillId="0" borderId="15" xfId="0" applyFont="1" applyBorder="1" applyAlignment="1">
      <alignment horizontal="left"/>
    </xf>
    <xf numFmtId="0" fontId="12" fillId="0" borderId="15" xfId="0" applyFont="1" applyBorder="1" applyAlignment="1">
      <alignment horizontal="left"/>
    </xf>
    <xf numFmtId="0" fontId="24" fillId="0" borderId="15" xfId="0" applyFont="1" applyBorder="1"/>
    <xf numFmtId="0" fontId="12" fillId="0" borderId="9" xfId="0" applyFont="1" applyBorder="1" applyAlignment="1">
      <alignment horizontal="left" vertical="top"/>
    </xf>
    <xf numFmtId="0" fontId="12" fillId="0" borderId="0" xfId="0" applyFont="1" applyBorder="1" applyAlignment="1">
      <alignment horizontal="left" vertical="top"/>
    </xf>
    <xf numFmtId="0" fontId="15" fillId="0" borderId="0" xfId="0" applyFont="1" applyAlignment="1">
      <alignment horizontal="right"/>
    </xf>
    <xf numFmtId="0" fontId="15" fillId="0" borderId="0" xfId="0" quotePrefix="1" applyFont="1" applyAlignment="1">
      <alignment horizontal="left" vertical="top" wrapText="1"/>
    </xf>
    <xf numFmtId="0" fontId="15" fillId="0" borderId="0" xfId="0" applyFont="1" applyBorder="1" applyAlignment="1">
      <alignment horizontal="left" vertical="center" wrapText="1"/>
    </xf>
    <xf numFmtId="0" fontId="30" fillId="0" borderId="0" xfId="0" applyFont="1" applyBorder="1" applyAlignment="1">
      <alignment horizontal="right"/>
    </xf>
    <xf numFmtId="0" fontId="0" fillId="0" borderId="0" xfId="0" applyBorder="1" applyAlignment="1">
      <alignment horizontal="right"/>
    </xf>
    <xf numFmtId="0" fontId="13" fillId="0" borderId="0" xfId="0" applyFont="1" applyBorder="1" applyAlignment="1">
      <alignment horizontal="center" vertical="center" wrapText="1"/>
    </xf>
    <xf numFmtId="0" fontId="27" fillId="0" borderId="0" xfId="0" applyFont="1" applyAlignment="1">
      <alignment horizontal="left"/>
    </xf>
    <xf numFmtId="0" fontId="0" fillId="0" borderId="0" xfId="0" applyBorder="1" applyAlignment="1">
      <alignment horizontal="center"/>
    </xf>
    <xf numFmtId="0" fontId="15" fillId="0" borderId="0" xfId="0" applyFont="1" applyBorder="1" applyAlignment="1">
      <alignment horizontal="left" vertical="top"/>
    </xf>
    <xf numFmtId="0" fontId="15" fillId="0" borderId="0" xfId="0" applyFont="1" applyAlignment="1">
      <alignment horizontal="left" vertical="top" wrapText="1"/>
    </xf>
    <xf numFmtId="0" fontId="36" fillId="0" borderId="0" xfId="0" applyFont="1" applyAlignment="1">
      <alignment horizontal="left" wrapText="1"/>
    </xf>
    <xf numFmtId="0" fontId="14" fillId="0" borderId="0" xfId="0" applyFont="1" applyAlignment="1">
      <alignment horizontal="left"/>
    </xf>
    <xf numFmtId="0" fontId="15" fillId="0" borderId="0" xfId="0" applyFont="1" applyBorder="1" applyAlignment="1">
      <alignment horizontal="left" vertical="center" wrapText="1"/>
    </xf>
    <xf numFmtId="0" fontId="0" fillId="5" borderId="0" xfId="0" applyFill="1"/>
    <xf numFmtId="0" fontId="0" fillId="5" borderId="9" xfId="0" applyFill="1" applyBorder="1"/>
    <xf numFmtId="0" fontId="12" fillId="5" borderId="9" xfId="0" applyFont="1" applyFill="1" applyBorder="1"/>
    <xf numFmtId="0" fontId="14" fillId="0" borderId="9" xfId="0" applyFont="1" applyBorder="1" applyAlignment="1">
      <alignment horizontal="left"/>
    </xf>
    <xf numFmtId="0" fontId="0" fillId="0" borderId="0" xfId="0" applyFont="1"/>
    <xf numFmtId="0" fontId="0" fillId="0" borderId="0" xfId="0" applyFont="1" applyFill="1"/>
    <xf numFmtId="0" fontId="39" fillId="0" borderId="0" xfId="0" applyFont="1" applyFill="1" applyAlignment="1">
      <alignment vertical="center"/>
    </xf>
    <xf numFmtId="0" fontId="9" fillId="0" borderId="0" xfId="0" applyFont="1" applyFill="1" applyAlignment="1">
      <alignment vertical="center"/>
    </xf>
    <xf numFmtId="0" fontId="40"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0" fontId="41" fillId="0" borderId="0" xfId="0" applyFont="1" applyFill="1" applyAlignment="1">
      <alignment vertical="center"/>
    </xf>
    <xf numFmtId="0" fontId="42" fillId="0" borderId="0" xfId="0" applyFont="1" applyFill="1" applyAlignment="1">
      <alignment horizontal="left" vertical="center" indent="5"/>
    </xf>
    <xf numFmtId="0" fontId="15" fillId="0" borderId="0" xfId="0" applyFont="1" applyAlignment="1">
      <alignment vertical="top" wrapText="1"/>
    </xf>
    <xf numFmtId="0" fontId="9" fillId="0" borderId="0" xfId="0" applyFont="1" applyAlignment="1">
      <alignment vertical="center"/>
    </xf>
    <xf numFmtId="0" fontId="41" fillId="2" borderId="0" xfId="0" applyFont="1" applyFill="1" applyAlignment="1">
      <alignment vertical="center"/>
    </xf>
    <xf numFmtId="0" fontId="42" fillId="0" borderId="0" xfId="0" applyFont="1" applyAlignment="1">
      <alignment vertical="center"/>
    </xf>
    <xf numFmtId="0" fontId="10" fillId="0" borderId="0" xfId="3" applyFill="1" applyAlignment="1">
      <alignment vertical="center"/>
    </xf>
    <xf numFmtId="0" fontId="10" fillId="0" borderId="0" xfId="3" applyFill="1"/>
    <xf numFmtId="0" fontId="34" fillId="0" borderId="0" xfId="0" applyFont="1" applyFill="1" applyAlignment="1">
      <alignment vertical="center"/>
    </xf>
    <xf numFmtId="0" fontId="47" fillId="0" borderId="0" xfId="0" applyFont="1" applyFill="1" applyAlignment="1">
      <alignment horizontal="left" vertical="center" indent="5"/>
    </xf>
    <xf numFmtId="0" fontId="47" fillId="0" borderId="0" xfId="0" applyFont="1" applyFill="1"/>
    <xf numFmtId="0" fontId="41" fillId="0" borderId="0" xfId="0" applyFont="1" applyFill="1" applyAlignment="1">
      <alignment horizontal="left" vertical="center" indent="5"/>
    </xf>
    <xf numFmtId="0" fontId="12" fillId="0" borderId="0" xfId="0" applyFont="1" applyAlignment="1">
      <alignment horizontal="left"/>
    </xf>
    <xf numFmtId="0" fontId="31" fillId="0" borderId="0" xfId="0" applyFont="1" applyFill="1" applyAlignment="1">
      <alignment horizontal="left" vertical="top" wrapText="1"/>
    </xf>
    <xf numFmtId="0" fontId="0" fillId="0" borderId="0" xfId="0" applyBorder="1" applyAlignment="1">
      <alignment horizontal="right"/>
    </xf>
    <xf numFmtId="0" fontId="0" fillId="0" borderId="0" xfId="0" applyFill="1" applyBorder="1" applyAlignment="1">
      <alignment horizontal="right"/>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27" fillId="0" borderId="0" xfId="0" applyFont="1" applyAlignment="1">
      <alignment horizontal="left"/>
    </xf>
    <xf numFmtId="0" fontId="0" fillId="0" borderId="0" xfId="0" applyFill="1" applyBorder="1" applyAlignment="1">
      <alignment horizontal="right"/>
    </xf>
    <xf numFmtId="0" fontId="0" fillId="0" borderId="0" xfId="0" applyBorder="1" applyAlignment="1">
      <alignment horizontal="center"/>
    </xf>
    <xf numFmtId="0" fontId="15" fillId="0" borderId="0" xfId="0" applyFont="1" applyAlignment="1">
      <alignment horizontal="left" vertical="top" wrapText="1"/>
    </xf>
    <xf numFmtId="0" fontId="11" fillId="0" borderId="0" xfId="0" applyFont="1" applyFill="1" applyAlignment="1">
      <alignment horizontal="center"/>
    </xf>
    <xf numFmtId="0" fontId="14" fillId="0" borderId="0" xfId="0" applyFont="1" applyAlignment="1">
      <alignment horizontal="left"/>
    </xf>
    <xf numFmtId="0" fontId="37" fillId="0" borderId="0" xfId="0" applyFont="1"/>
    <xf numFmtId="0" fontId="53" fillId="0" borderId="0" xfId="0" applyFont="1"/>
    <xf numFmtId="0" fontId="54" fillId="0" borderId="0" xfId="0" applyFont="1" applyFill="1" applyAlignment="1">
      <alignment horizontal="left" vertical="center" indent="5"/>
    </xf>
    <xf numFmtId="0" fontId="47" fillId="0" borderId="0" xfId="0" applyFont="1" applyFill="1" applyAlignment="1">
      <alignment horizontal="left"/>
    </xf>
    <xf numFmtId="0" fontId="53" fillId="0" borderId="0" xfId="0" applyFont="1" applyFill="1" applyAlignment="1">
      <alignment wrapText="1"/>
    </xf>
    <xf numFmtId="0" fontId="41" fillId="0" borderId="0" xfId="0" applyFont="1" applyFill="1" applyAlignment="1">
      <alignment horizontal="left" vertical="top" wrapText="1" indent="5"/>
    </xf>
    <xf numFmtId="0" fontId="13" fillId="0" borderId="0" xfId="0" applyFont="1" applyBorder="1" applyAlignment="1">
      <alignment horizontal="center" vertical="center" wrapText="1"/>
    </xf>
    <xf numFmtId="0" fontId="27" fillId="0" borderId="0" xfId="0" applyFont="1" applyAlignment="1">
      <alignment horizontal="left"/>
    </xf>
    <xf numFmtId="0" fontId="13" fillId="0" borderId="0" xfId="0" applyFont="1" applyBorder="1" applyAlignment="1">
      <alignment horizontal="center" vertical="center" wrapText="1"/>
    </xf>
    <xf numFmtId="0" fontId="27" fillId="0" borderId="0" xfId="0" applyFont="1" applyAlignment="1">
      <alignment horizontal="left"/>
    </xf>
    <xf numFmtId="0" fontId="30" fillId="0" borderId="0" xfId="0" applyFont="1" applyFill="1" applyBorder="1" applyAlignment="1">
      <alignment horizontal="right" wrapText="1"/>
    </xf>
    <xf numFmtId="0" fontId="12" fillId="0" borderId="0" xfId="0" applyFont="1" applyBorder="1" applyAlignment="1">
      <alignment horizontal="left" vertical="top"/>
    </xf>
    <xf numFmtId="0" fontId="0" fillId="0" borderId="0" xfId="0" applyBorder="1" applyAlignment="1">
      <alignment horizontal="right"/>
    </xf>
    <xf numFmtId="0" fontId="13" fillId="0" borderId="0" xfId="0" applyFont="1" applyBorder="1" applyAlignment="1">
      <alignment horizontal="center" vertical="center" wrapText="1"/>
    </xf>
    <xf numFmtId="0" fontId="30" fillId="0" borderId="0" xfId="0" applyFont="1" applyBorder="1" applyAlignment="1">
      <alignment horizontal="right"/>
    </xf>
    <xf numFmtId="0" fontId="30" fillId="0" borderId="0" xfId="0" applyFont="1" applyFill="1" applyBorder="1" applyAlignment="1">
      <alignment horizontal="right" wrapText="1"/>
    </xf>
    <xf numFmtId="0" fontId="0" fillId="0" borderId="0" xfId="0" applyFill="1" applyBorder="1" applyAlignment="1">
      <alignment horizontal="right"/>
    </xf>
    <xf numFmtId="0" fontId="27" fillId="0" borderId="0" xfId="0" applyFont="1" applyAlignment="1">
      <alignment horizontal="left"/>
    </xf>
    <xf numFmtId="0" fontId="0" fillId="0" borderId="0" xfId="0" applyBorder="1" applyAlignment="1">
      <alignment horizontal="center"/>
    </xf>
    <xf numFmtId="0" fontId="0" fillId="0" borderId="0" xfId="0" applyAlignment="1">
      <alignment horizontal="center"/>
    </xf>
    <xf numFmtId="0" fontId="27" fillId="0" borderId="0" xfId="0" applyFont="1" applyAlignment="1">
      <alignment horizontal="left"/>
    </xf>
    <xf numFmtId="0" fontId="0" fillId="0" borderId="0" xfId="0" applyAlignment="1">
      <alignment horizontal="left" vertical="top" wrapText="1"/>
    </xf>
    <xf numFmtId="0" fontId="0" fillId="0" borderId="18" xfId="0" applyBorder="1"/>
    <xf numFmtId="0" fontId="35" fillId="0" borderId="0" xfId="0" applyFont="1" applyAlignment="1">
      <alignment vertical="center" wrapText="1"/>
    </xf>
    <xf numFmtId="0" fontId="55" fillId="0" borderId="0" xfId="0" applyFont="1" applyAlignment="1">
      <alignment horizontal="left" vertical="center" wrapText="1" indent="1"/>
    </xf>
    <xf numFmtId="0" fontId="0" fillId="0" borderId="0" xfId="0" applyAlignment="1">
      <alignment vertical="top" wrapText="1"/>
    </xf>
    <xf numFmtId="0" fontId="57" fillId="0" borderId="0" xfId="0" applyFont="1"/>
    <xf numFmtId="0" fontId="57" fillId="0" borderId="0" xfId="0" applyFont="1" applyAlignment="1">
      <alignment horizontal="right"/>
    </xf>
    <xf numFmtId="0" fontId="15" fillId="0" borderId="0" xfId="0" quotePrefix="1" applyFont="1"/>
    <xf numFmtId="0" fontId="58" fillId="0" borderId="0" xfId="0" applyFont="1"/>
    <xf numFmtId="0" fontId="59" fillId="0" borderId="0" xfId="0" applyFont="1"/>
    <xf numFmtId="0" fontId="11" fillId="0" borderId="0" xfId="0" applyFont="1" applyFill="1" applyBorder="1" applyAlignment="1">
      <alignment vertical="top" wrapText="1"/>
    </xf>
    <xf numFmtId="0" fontId="12" fillId="0" borderId="0" xfId="0" applyFont="1" applyBorder="1" applyAlignment="1">
      <alignment horizontal="left" vertical="top"/>
    </xf>
    <xf numFmtId="0" fontId="12" fillId="0" borderId="0" xfId="0" applyFont="1" applyAlignment="1">
      <alignment horizontal="left"/>
    </xf>
    <xf numFmtId="0" fontId="15" fillId="0" borderId="0" xfId="0" applyFont="1" applyAlignment="1">
      <alignment horizontal="left"/>
    </xf>
    <xf numFmtId="0" fontId="0" fillId="0" borderId="7" xfId="0" applyBorder="1" applyAlignment="1">
      <alignment horizontal="right"/>
    </xf>
    <xf numFmtId="0" fontId="0" fillId="0" borderId="0" xfId="0"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27" fillId="0" borderId="0" xfId="0" applyFont="1" applyAlignment="1">
      <alignment horizontal="left"/>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horizontal="left"/>
    </xf>
    <xf numFmtId="0" fontId="12" fillId="0" borderId="0" xfId="0" applyFont="1" applyBorder="1" applyAlignment="1">
      <alignment horizontal="left" vertical="top"/>
    </xf>
    <xf numFmtId="0" fontId="0" fillId="0" borderId="0" xfId="0" applyFill="1" applyBorder="1" applyAlignment="1">
      <alignment horizontal="right" vertical="center"/>
    </xf>
    <xf numFmtId="0" fontId="0" fillId="0" borderId="0" xfId="0" applyBorder="1" applyAlignment="1">
      <alignment horizontal="right"/>
    </xf>
    <xf numFmtId="0" fontId="27" fillId="0" borderId="0" xfId="0" applyFont="1" applyAlignment="1">
      <alignment horizontal="left"/>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xf>
    <xf numFmtId="0" fontId="30" fillId="0" borderId="0" xfId="0" applyFont="1" applyFill="1" applyBorder="1" applyAlignment="1">
      <alignment horizontal="right" wrapText="1"/>
    </xf>
    <xf numFmtId="0" fontId="13" fillId="0" borderId="0" xfId="0" applyFont="1" applyBorder="1" applyAlignment="1">
      <alignment horizontal="center" vertical="center" wrapText="1"/>
    </xf>
    <xf numFmtId="0" fontId="0" fillId="0" borderId="0" xfId="0" applyBorder="1" applyAlignment="1">
      <alignment horizontal="center"/>
    </xf>
    <xf numFmtId="0" fontId="15" fillId="0" borderId="0" xfId="0" applyFont="1" applyAlignment="1">
      <alignment horizontal="left" vertical="top" wrapText="1"/>
    </xf>
    <xf numFmtId="15" fontId="0" fillId="0" borderId="0" xfId="0" quotePrefix="1" applyNumberFormat="1"/>
    <xf numFmtId="0" fontId="62" fillId="0" borderId="0" xfId="0" applyFont="1" applyFill="1" applyAlignment="1">
      <alignment horizontal="left" vertical="center" indent="5"/>
    </xf>
    <xf numFmtId="0" fontId="63" fillId="0" borderId="0" xfId="0" applyFont="1"/>
    <xf numFmtId="43" fontId="0" fillId="7" borderId="0" xfId="4" applyFont="1" applyFill="1"/>
    <xf numFmtId="43" fontId="0" fillId="0" borderId="0" xfId="4" applyFont="1"/>
    <xf numFmtId="43" fontId="1" fillId="7" borderId="0" xfId="4" applyFont="1" applyFill="1"/>
    <xf numFmtId="0" fontId="0" fillId="8" borderId="0" xfId="0" applyFill="1"/>
    <xf numFmtId="0" fontId="0" fillId="0" borderId="12" xfId="0" applyBorder="1"/>
    <xf numFmtId="0" fontId="64" fillId="0" borderId="0" xfId="0" applyFont="1"/>
    <xf numFmtId="1" fontId="12" fillId="5" borderId="42" xfId="0" applyNumberFormat="1" applyFont="1" applyFill="1" applyBorder="1" applyAlignment="1" applyProtection="1">
      <alignment vertical="top" wrapText="1"/>
      <protection locked="0"/>
    </xf>
    <xf numFmtId="0" fontId="0" fillId="0" borderId="0" xfId="0" applyProtection="1">
      <protection locked="0"/>
    </xf>
    <xf numFmtId="0" fontId="19" fillId="0" borderId="0" xfId="0" applyFont="1" applyBorder="1" applyAlignment="1">
      <alignment horizontal="center" vertical="center" wrapText="1"/>
    </xf>
    <xf numFmtId="0" fontId="27" fillId="0" borderId="0" xfId="0" applyFont="1" applyBorder="1" applyAlignment="1">
      <alignment horizontal="left"/>
    </xf>
    <xf numFmtId="0" fontId="12" fillId="0" borderId="0" xfId="0" applyFont="1" applyAlignment="1">
      <alignment horizontal="left"/>
    </xf>
    <xf numFmtId="0" fontId="15" fillId="0" borderId="0" xfId="0" applyFont="1" applyAlignment="1">
      <alignment horizontal="left"/>
    </xf>
    <xf numFmtId="0" fontId="14" fillId="0" borderId="0" xfId="0" applyFont="1" applyAlignment="1">
      <alignment horizontal="left"/>
    </xf>
    <xf numFmtId="0" fontId="12" fillId="0" borderId="0" xfId="0" applyFont="1" applyBorder="1" applyAlignment="1">
      <alignment horizontal="left" vertical="top"/>
    </xf>
    <xf numFmtId="0" fontId="30" fillId="0" borderId="0" xfId="0" applyFont="1" applyFill="1" applyBorder="1" applyAlignment="1">
      <alignment horizontal="right" wrapText="1"/>
    </xf>
    <xf numFmtId="0" fontId="0" fillId="0" borderId="0" xfId="0" applyFill="1" applyBorder="1" applyAlignment="1">
      <alignment horizontal="right" vertical="center"/>
    </xf>
    <xf numFmtId="0" fontId="18" fillId="0" borderId="0" xfId="0" applyFont="1" applyBorder="1" applyAlignment="1">
      <alignment horizontal="center" vertical="center" wrapText="1"/>
    </xf>
    <xf numFmtId="0" fontId="30" fillId="0" borderId="0" xfId="0" applyFont="1" applyBorder="1" applyAlignment="1">
      <alignment horizontal="right"/>
    </xf>
    <xf numFmtId="0" fontId="0" fillId="0" borderId="0" xfId="0" applyBorder="1" applyAlignment="1">
      <alignment horizontal="right"/>
    </xf>
    <xf numFmtId="0" fontId="0" fillId="0" borderId="7" xfId="0" applyBorder="1" applyAlignment="1">
      <alignment horizontal="right"/>
    </xf>
    <xf numFmtId="0" fontId="27" fillId="0" borderId="0" xfId="0" applyFont="1" applyAlignment="1">
      <alignment horizontal="left"/>
    </xf>
    <xf numFmtId="0" fontId="30" fillId="0" borderId="7" xfId="0" applyFont="1" applyBorder="1" applyAlignment="1">
      <alignment horizontal="right"/>
    </xf>
    <xf numFmtId="0" fontId="0" fillId="0" borderId="0" xfId="0" applyFill="1" applyBorder="1" applyAlignment="1">
      <alignment horizontal="right"/>
    </xf>
    <xf numFmtId="0" fontId="0" fillId="0" borderId="0" xfId="0" applyBorder="1" applyAlignment="1">
      <alignment horizontal="center"/>
    </xf>
    <xf numFmtId="0" fontId="15" fillId="0" borderId="0" xfId="0" applyFont="1" applyAlignment="1">
      <alignment vertical="top" wrapText="1"/>
    </xf>
    <xf numFmtId="0" fontId="15" fillId="0" borderId="0" xfId="0" applyFont="1" applyAlignment="1">
      <alignment horizontal="left" vertical="top" wrapText="1"/>
    </xf>
    <xf numFmtId="0" fontId="19" fillId="0" borderId="0" xfId="0" applyFont="1" applyBorder="1" applyAlignment="1">
      <alignment horizontal="center" vertical="center" wrapText="1"/>
    </xf>
    <xf numFmtId="0" fontId="0" fillId="0" borderId="0" xfId="0" applyAlignment="1">
      <alignment horizontal="center"/>
    </xf>
    <xf numFmtId="17" fontId="0" fillId="0" borderId="0" xfId="0" quotePrefix="1" applyNumberFormat="1"/>
    <xf numFmtId="0" fontId="65" fillId="0" borderId="0" xfId="0" applyFont="1"/>
    <xf numFmtId="0" fontId="12" fillId="0" borderId="0" xfId="0" applyFont="1" applyAlignment="1">
      <alignment horizontal="right"/>
    </xf>
    <xf numFmtId="0" fontId="12" fillId="0" borderId="3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4" fillId="0" borderId="0" xfId="0" applyFont="1" applyAlignment="1">
      <alignment horizontal="left" vertical="top" wrapText="1"/>
    </xf>
    <xf numFmtId="0" fontId="15" fillId="0" borderId="0" xfId="0" quotePrefix="1" applyFont="1" applyAlignment="1">
      <alignment horizontal="left"/>
    </xf>
    <xf numFmtId="0" fontId="15" fillId="0" borderId="0" xfId="0" applyFont="1" applyAlignment="1">
      <alignment horizontal="left"/>
    </xf>
    <xf numFmtId="0" fontId="12" fillId="0" borderId="0" xfId="0" applyFont="1" applyAlignment="1">
      <alignment horizontal="left"/>
    </xf>
    <xf numFmtId="0" fontId="37" fillId="0" borderId="0" xfId="0" applyFont="1" applyAlignment="1">
      <alignment horizontal="right"/>
    </xf>
    <xf numFmtId="0" fontId="14" fillId="0" borderId="0" xfId="0" applyFont="1" applyAlignment="1">
      <alignment horizontal="left"/>
    </xf>
    <xf numFmtId="0" fontId="14" fillId="0" borderId="0" xfId="0" applyFont="1" applyAlignment="1">
      <alignment horizontal="left" vertical="top"/>
    </xf>
    <xf numFmtId="0" fontId="12" fillId="0" borderId="0" xfId="0" applyFont="1" applyAlignment="1">
      <alignment horizontal="center"/>
    </xf>
    <xf numFmtId="16" fontId="12" fillId="0" borderId="0" xfId="0" quotePrefix="1" applyNumberFormat="1" applyFont="1" applyAlignment="1">
      <alignment horizontal="left"/>
    </xf>
    <xf numFmtId="0" fontId="12" fillId="0" borderId="0" xfId="0" quotePrefix="1" applyFont="1" applyAlignment="1">
      <alignment horizontal="left" vertical="top" wrapText="1"/>
    </xf>
    <xf numFmtId="0" fontId="15" fillId="0" borderId="0" xfId="0" applyFont="1" applyBorder="1" applyAlignment="1">
      <alignment horizontal="left" vertical="center" wrapText="1"/>
    </xf>
    <xf numFmtId="0" fontId="15" fillId="0" borderId="0" xfId="0" quotePrefix="1" applyFont="1" applyAlignment="1">
      <alignment horizontal="left" vertical="top" wrapText="1"/>
    </xf>
    <xf numFmtId="0" fontId="11" fillId="3" borderId="14" xfId="0" applyFont="1" applyFill="1" applyBorder="1" applyAlignment="1">
      <alignment horizontal="center"/>
    </xf>
    <xf numFmtId="0" fontId="15" fillId="0" borderId="0" xfId="0" quotePrefix="1" applyFont="1" applyAlignment="1">
      <alignment horizontal="left" wrapText="1"/>
    </xf>
    <xf numFmtId="0" fontId="15" fillId="0" borderId="15" xfId="0" quotePrefix="1" applyFont="1" applyBorder="1" applyAlignment="1">
      <alignment horizontal="left" wrapText="1"/>
    </xf>
    <xf numFmtId="0" fontId="15" fillId="0" borderId="15" xfId="0" quotePrefix="1" applyFont="1" applyBorder="1" applyAlignment="1">
      <alignment horizontal="left" vertical="top" wrapText="1"/>
    </xf>
    <xf numFmtId="0" fontId="12" fillId="0" borderId="0" xfId="0" applyFont="1" applyBorder="1" applyAlignment="1">
      <alignment horizontal="left" vertical="top"/>
    </xf>
    <xf numFmtId="0" fontId="12" fillId="0" borderId="0" xfId="0" applyFont="1" applyBorder="1" applyAlignment="1">
      <alignment horizontal="right"/>
    </xf>
    <xf numFmtId="44" fontId="12" fillId="0" borderId="37" xfId="0" applyNumberFormat="1" applyFont="1" applyBorder="1" applyAlignment="1" applyProtection="1">
      <alignment horizontal="left" vertical="top" wrapText="1"/>
      <protection locked="0"/>
    </xf>
    <xf numFmtId="14" fontId="12" fillId="0" borderId="37" xfId="0" applyNumberFormat="1" applyFont="1" applyBorder="1" applyAlignment="1" applyProtection="1">
      <alignment horizontal="left" vertical="top" wrapText="1"/>
      <protection locked="0"/>
    </xf>
    <xf numFmtId="14" fontId="12" fillId="0" borderId="0" xfId="0" applyNumberFormat="1" applyFont="1" applyBorder="1" applyAlignment="1" applyProtection="1">
      <alignment horizontal="left" vertical="top" wrapText="1"/>
      <protection locked="0"/>
    </xf>
    <xf numFmtId="14" fontId="12" fillId="0" borderId="15" xfId="0" applyNumberFormat="1" applyFont="1" applyBorder="1" applyAlignment="1" applyProtection="1">
      <alignment horizontal="left" vertical="top" wrapText="1"/>
      <protection locked="0"/>
    </xf>
    <xf numFmtId="0" fontId="15" fillId="0" borderId="0" xfId="0" applyFont="1" applyBorder="1" applyAlignment="1">
      <alignment horizontal="left"/>
    </xf>
    <xf numFmtId="0" fontId="15" fillId="0" borderId="0" xfId="0" applyFont="1" applyBorder="1" applyAlignment="1">
      <alignment horizontal="right"/>
    </xf>
    <xf numFmtId="0" fontId="11" fillId="3" borderId="0" xfId="0" applyFont="1" applyFill="1" applyAlignment="1">
      <alignment horizontal="center"/>
    </xf>
    <xf numFmtId="0" fontId="15" fillId="0" borderId="0" xfId="0" applyFont="1" applyAlignment="1">
      <alignment horizontal="right"/>
    </xf>
    <xf numFmtId="0" fontId="31" fillId="0" borderId="0" xfId="0" applyFont="1" applyAlignment="1">
      <alignment horizontal="left" vertical="top"/>
    </xf>
    <xf numFmtId="0" fontId="31" fillId="0" borderId="0" xfId="0" applyFont="1" applyFill="1" applyAlignment="1">
      <alignment horizontal="left" vertical="top" wrapText="1"/>
    </xf>
    <xf numFmtId="0" fontId="11" fillId="3" borderId="0" xfId="3" quotePrefix="1" applyFont="1" applyFill="1" applyAlignment="1">
      <alignment horizontal="left" vertical="center" wrapText="1"/>
    </xf>
    <xf numFmtId="0" fontId="14" fillId="0" borderId="0" xfId="0" applyFont="1" applyAlignment="1">
      <alignment horizontal="left" wrapText="1"/>
    </xf>
    <xf numFmtId="0" fontId="37" fillId="0" borderId="0" xfId="0" applyFont="1" applyAlignment="1">
      <alignment horizontal="left" vertical="top" wrapText="1"/>
    </xf>
    <xf numFmtId="0" fontId="31" fillId="0" borderId="0" xfId="0" applyFont="1" applyAlignment="1">
      <alignment horizontal="left" vertical="top" wrapText="1"/>
    </xf>
    <xf numFmtId="0" fontId="14" fillId="0" borderId="37" xfId="0" applyFont="1" applyBorder="1" applyAlignment="1">
      <alignment horizontal="center" vertical="top"/>
    </xf>
    <xf numFmtId="0" fontId="14" fillId="0" borderId="0" xfId="0" applyFont="1" applyBorder="1" applyAlignment="1">
      <alignment horizontal="center" vertical="top"/>
    </xf>
    <xf numFmtId="0" fontId="31" fillId="0" borderId="18" xfId="0" applyFont="1" applyBorder="1" applyAlignment="1">
      <alignment horizontal="left" vertical="top"/>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3"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25"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26" xfId="0" applyFont="1" applyFill="1" applyBorder="1" applyAlignment="1">
      <alignment horizontal="center" vertical="center"/>
    </xf>
    <xf numFmtId="0" fontId="13" fillId="5" borderId="11" xfId="0" applyFont="1" applyFill="1" applyBorder="1" applyAlignment="1" applyProtection="1">
      <alignment horizontal="center" vertical="center" wrapText="1"/>
      <protection locked="0"/>
    </xf>
    <xf numFmtId="0" fontId="13" fillId="5" borderId="12" xfId="0" applyFont="1" applyFill="1" applyBorder="1" applyAlignment="1" applyProtection="1">
      <alignment horizontal="center" vertical="center" wrapText="1"/>
      <protection locked="0"/>
    </xf>
    <xf numFmtId="0" fontId="13" fillId="5" borderId="13" xfId="0" applyFont="1" applyFill="1" applyBorder="1" applyAlignment="1" applyProtection="1">
      <alignment horizontal="center" vertical="center" wrapText="1"/>
      <protection locked="0"/>
    </xf>
    <xf numFmtId="0" fontId="13" fillId="5" borderId="23"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center" vertical="center" wrapText="1"/>
      <protection locked="0"/>
    </xf>
    <xf numFmtId="0" fontId="13" fillId="5" borderId="24" xfId="0" applyFont="1" applyFill="1" applyBorder="1" applyAlignment="1" applyProtection="1">
      <alignment horizontal="center" vertical="center" wrapText="1"/>
      <protection locked="0"/>
    </xf>
    <xf numFmtId="0" fontId="13" fillId="5" borderId="25"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center" vertical="center" wrapText="1"/>
      <protection locked="0"/>
    </xf>
    <xf numFmtId="0" fontId="13" fillId="5" borderId="26" xfId="0" applyFont="1" applyFill="1" applyBorder="1" applyAlignment="1" applyProtection="1">
      <alignment horizontal="center" vertical="center" wrapText="1"/>
      <protection locked="0"/>
    </xf>
    <xf numFmtId="0" fontId="11" fillId="3" borderId="20" xfId="0" applyFont="1" applyFill="1" applyBorder="1" applyAlignment="1">
      <alignment horizontal="center"/>
    </xf>
    <xf numFmtId="0" fontId="11" fillId="3" borderId="22" xfId="0" applyFont="1" applyFill="1" applyBorder="1" applyAlignment="1">
      <alignment horizontal="center"/>
    </xf>
    <xf numFmtId="0" fontId="11" fillId="3" borderId="21" xfId="0" applyFont="1" applyFill="1" applyBorder="1" applyAlignment="1">
      <alignment horizontal="center"/>
    </xf>
    <xf numFmtId="14" fontId="12" fillId="5" borderId="20" xfId="0" applyNumberFormat="1" applyFont="1" applyFill="1" applyBorder="1" applyAlignment="1" applyProtection="1">
      <alignment horizontal="center" vertical="center" wrapText="1"/>
      <protection locked="0"/>
    </xf>
    <xf numFmtId="14" fontId="12" fillId="5" borderId="21" xfId="0" applyNumberFormat="1" applyFont="1" applyFill="1" applyBorder="1" applyAlignment="1" applyProtection="1">
      <alignment horizontal="center" vertical="center" wrapText="1"/>
      <protection locked="0"/>
    </xf>
    <xf numFmtId="0" fontId="11" fillId="3" borderId="20"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1" xfId="0" applyFont="1" applyFill="1" applyBorder="1" applyAlignment="1">
      <alignment horizontal="center" vertical="center"/>
    </xf>
    <xf numFmtId="0" fontId="12" fillId="5" borderId="22" xfId="0" applyFont="1" applyFill="1" applyBorder="1" applyAlignment="1" applyProtection="1">
      <alignment horizontal="center" vertical="center" wrapText="1"/>
      <protection locked="0"/>
    </xf>
    <xf numFmtId="0" fontId="12" fillId="5" borderId="21" xfId="0" applyFont="1" applyFill="1" applyBorder="1" applyAlignment="1" applyProtection="1">
      <alignment horizontal="center" vertical="center" wrapText="1"/>
      <protection locked="0"/>
    </xf>
    <xf numFmtId="0" fontId="22" fillId="3" borderId="11" xfId="3" applyFont="1" applyFill="1" applyBorder="1" applyAlignment="1">
      <alignment horizontal="center" vertical="center"/>
    </xf>
    <xf numFmtId="0" fontId="22" fillId="3" borderId="12" xfId="3" applyFont="1" applyFill="1" applyBorder="1" applyAlignment="1">
      <alignment horizontal="center" vertical="center"/>
    </xf>
    <xf numFmtId="0" fontId="22" fillId="3" borderId="25" xfId="3" applyFont="1" applyFill="1" applyBorder="1" applyAlignment="1">
      <alignment horizontal="center" vertical="center"/>
    </xf>
    <xf numFmtId="0" fontId="22" fillId="3" borderId="9" xfId="3" applyFont="1" applyFill="1" applyBorder="1" applyAlignment="1">
      <alignment horizontal="center" vertical="center"/>
    </xf>
    <xf numFmtId="0" fontId="15" fillId="0" borderId="23" xfId="0" applyFont="1" applyBorder="1" applyAlignment="1">
      <alignment horizontal="left"/>
    </xf>
    <xf numFmtId="0" fontId="19" fillId="0" borderId="25"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26" xfId="0" applyFont="1" applyFill="1" applyBorder="1" applyAlignment="1">
      <alignment horizontal="left" vertical="top" wrapText="1"/>
    </xf>
    <xf numFmtId="0" fontId="23" fillId="0" borderId="11"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13" xfId="0" applyFont="1" applyFill="1" applyBorder="1" applyAlignment="1">
      <alignment horizontal="left" vertical="top" wrapText="1"/>
    </xf>
    <xf numFmtId="0" fontId="11" fillId="3" borderId="0" xfId="0" quotePrefix="1" applyFont="1" applyFill="1" applyBorder="1" applyAlignment="1">
      <alignment horizontal="left" wrapText="1"/>
    </xf>
    <xf numFmtId="0" fontId="11" fillId="3" borderId="0" xfId="3" applyFont="1" applyFill="1" applyAlignment="1">
      <alignment horizontal="left" vertical="center" wrapText="1"/>
    </xf>
    <xf numFmtId="0" fontId="28" fillId="3" borderId="0" xfId="0" applyFont="1" applyFill="1" applyAlignment="1">
      <alignment horizontal="left" vertical="center" wrapText="1"/>
    </xf>
    <xf numFmtId="0" fontId="35" fillId="0" borderId="0" xfId="0" applyFont="1" applyBorder="1" applyAlignment="1">
      <alignment horizontal="left" vertical="top"/>
    </xf>
    <xf numFmtId="0" fontId="12" fillId="0" borderId="0" xfId="0" applyFont="1" applyBorder="1" applyAlignment="1">
      <alignment horizontal="left" vertical="top" wrapText="1"/>
    </xf>
    <xf numFmtId="0" fontId="35" fillId="0" borderId="0" xfId="0" applyFont="1" applyAlignment="1">
      <alignment horizontal="left" vertical="top"/>
    </xf>
    <xf numFmtId="0" fontId="12" fillId="0" borderId="0" xfId="0" applyFont="1" applyBorder="1" applyAlignment="1">
      <alignment horizontal="left"/>
    </xf>
    <xf numFmtId="0" fontId="12" fillId="0" borderId="16"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9" fillId="5" borderId="0" xfId="0" applyFont="1" applyFill="1" applyAlignment="1">
      <alignment horizontal="left"/>
    </xf>
    <xf numFmtId="0" fontId="27" fillId="0" borderId="0" xfId="0" applyFont="1" applyAlignment="1">
      <alignment horizontal="left"/>
    </xf>
    <xf numFmtId="0" fontId="0" fillId="0" borderId="0" xfId="0" applyBorder="1" applyAlignment="1">
      <alignment horizontal="right"/>
    </xf>
    <xf numFmtId="0" fontId="0" fillId="0" borderId="7" xfId="0" applyBorder="1" applyAlignment="1">
      <alignment horizontal="right"/>
    </xf>
    <xf numFmtId="0" fontId="18" fillId="4" borderId="1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24" xfId="0" applyFont="1" applyFill="1" applyBorder="1" applyAlignment="1">
      <alignment horizontal="center" vertical="center" wrapText="1"/>
    </xf>
    <xf numFmtId="0" fontId="18" fillId="4" borderId="25"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30" fillId="0" borderId="7" xfId="0" applyFont="1" applyBorder="1" applyAlignment="1">
      <alignment horizontal="right"/>
    </xf>
    <xf numFmtId="0" fontId="30" fillId="0" borderId="0" xfId="0" applyFont="1" applyBorder="1" applyAlignment="1">
      <alignment horizontal="right"/>
    </xf>
    <xf numFmtId="0" fontId="0" fillId="0" borderId="0" xfId="0" applyFill="1" applyBorder="1" applyAlignment="1">
      <alignment horizontal="right" vertical="center"/>
    </xf>
    <xf numFmtId="0" fontId="61" fillId="0" borderId="0" xfId="0" applyFont="1" applyAlignment="1">
      <alignment horizontal="left"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35" fillId="0" borderId="43" xfId="0" applyFont="1" applyBorder="1" applyAlignment="1">
      <alignment horizontal="left" vertical="top" wrapText="1"/>
    </xf>
    <xf numFmtId="0" fontId="30" fillId="0" borderId="7" xfId="0" applyFont="1" applyFill="1" applyBorder="1" applyAlignment="1">
      <alignment horizontal="right"/>
    </xf>
    <xf numFmtId="0" fontId="30" fillId="0" borderId="0" xfId="0" applyFont="1" applyFill="1" applyBorder="1" applyAlignment="1">
      <alignment horizontal="right"/>
    </xf>
    <xf numFmtId="0" fontId="30" fillId="0" borderId="0" xfId="0" applyFont="1" applyFill="1" applyBorder="1" applyAlignment="1">
      <alignment horizontal="right" wrapText="1"/>
    </xf>
    <xf numFmtId="0" fontId="27" fillId="0" borderId="0" xfId="0" applyFont="1" applyAlignment="1">
      <alignment horizontal="left" wrapText="1"/>
    </xf>
    <xf numFmtId="0" fontId="0" fillId="0" borderId="0" xfId="0" applyFill="1" applyBorder="1" applyAlignment="1">
      <alignment horizontal="right"/>
    </xf>
    <xf numFmtId="0" fontId="15" fillId="0" borderId="0" xfId="0" applyFont="1" applyBorder="1" applyAlignment="1">
      <alignment horizontal="left" vertical="top" wrapText="1"/>
    </xf>
    <xf numFmtId="0" fontId="61" fillId="0" borderId="0" xfId="0" applyFont="1" applyBorder="1" applyAlignment="1">
      <alignment horizontal="left" vertical="center" wrapText="1"/>
    </xf>
    <xf numFmtId="0" fontId="30" fillId="0" borderId="0" xfId="0" applyFont="1" applyFill="1" applyBorder="1" applyAlignment="1">
      <alignment horizontal="right" vertical="center"/>
    </xf>
    <xf numFmtId="0" fontId="18" fillId="0" borderId="23" xfId="0" quotePrefix="1" applyFont="1" applyBorder="1" applyAlignment="1">
      <alignment horizontal="center" vertical="center" wrapText="1"/>
    </xf>
    <xf numFmtId="0" fontId="27" fillId="0" borderId="0" xfId="0" applyFont="1" applyAlignment="1">
      <alignment horizontal="left" vertical="top" wrapText="1"/>
    </xf>
    <xf numFmtId="0" fontId="37" fillId="0" borderId="12" xfId="0" applyFont="1" applyBorder="1" applyAlignment="1">
      <alignment horizontal="left" vertical="top" wrapText="1"/>
    </xf>
    <xf numFmtId="0" fontId="37" fillId="0" borderId="0" xfId="0" applyFont="1" applyBorder="1" applyAlignment="1">
      <alignment horizontal="left" vertical="top" wrapText="1"/>
    </xf>
    <xf numFmtId="0" fontId="15" fillId="0" borderId="12" xfId="0" applyFont="1" applyBorder="1" applyAlignment="1">
      <alignment horizontal="left" vertical="top" wrapText="1"/>
    </xf>
    <xf numFmtId="0" fontId="38" fillId="5" borderId="0" xfId="0" applyFont="1" applyFill="1" applyBorder="1" applyAlignment="1">
      <alignment horizontal="center" vertical="center"/>
    </xf>
    <xf numFmtId="0" fontId="38" fillId="5" borderId="9" xfId="0" applyFont="1" applyFill="1" applyBorder="1" applyAlignment="1">
      <alignment horizontal="center" vertical="center"/>
    </xf>
    <xf numFmtId="0" fontId="0" fillId="0" borderId="0" xfId="0" applyBorder="1" applyAlignment="1">
      <alignment horizontal="center"/>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5" fillId="0" borderId="0" xfId="0" applyFont="1" applyAlignment="1">
      <alignment horizontal="left" wrapText="1"/>
    </xf>
    <xf numFmtId="0" fontId="22" fillId="3" borderId="0" xfId="0" applyFont="1" applyFill="1" applyAlignment="1">
      <alignment horizontal="center" vertical="center" wrapText="1"/>
    </xf>
    <xf numFmtId="0" fontId="17" fillId="3" borderId="0" xfId="0" applyFont="1" applyFill="1" applyAlignment="1">
      <alignment horizontal="left"/>
    </xf>
    <xf numFmtId="0" fontId="17" fillId="3" borderId="0" xfId="0" applyFont="1" applyFill="1" applyAlignment="1">
      <alignment horizontal="left" wrapText="1"/>
    </xf>
    <xf numFmtId="0" fontId="18" fillId="4" borderId="27"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30"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2" xfId="0" applyFont="1" applyFill="1" applyBorder="1" applyAlignment="1">
      <alignment horizontal="center" vertical="center" wrapText="1"/>
    </xf>
    <xf numFmtId="0" fontId="18" fillId="4" borderId="33"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horizontal="left" vertical="top" wrapText="1"/>
    </xf>
    <xf numFmtId="0" fontId="0" fillId="0" borderId="7" xfId="0" applyFill="1" applyBorder="1" applyAlignment="1">
      <alignment horizontal="right"/>
    </xf>
    <xf numFmtId="0" fontId="0" fillId="0" borderId="7" xfId="0" applyFill="1" applyBorder="1" applyAlignment="1">
      <alignment horizontal="right" vertical="center"/>
    </xf>
    <xf numFmtId="0" fontId="15" fillId="0" borderId="0" xfId="0" applyFont="1" applyAlignment="1">
      <alignment vertical="top" wrapText="1"/>
    </xf>
    <xf numFmtId="0" fontId="0" fillId="0" borderId="0" xfId="0" applyBorder="1" applyAlignment="1">
      <alignment horizontal="right" vertical="center"/>
    </xf>
    <xf numFmtId="0" fontId="15" fillId="0" borderId="0" xfId="0" applyFont="1" applyAlignment="1">
      <alignment horizontal="left" vertical="top"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0" fillId="0" borderId="0" xfId="0" applyAlignment="1">
      <alignment horizontal="center" vertical="center"/>
    </xf>
    <xf numFmtId="44" fontId="12" fillId="5" borderId="38" xfId="0" applyNumberFormat="1" applyFont="1" applyFill="1" applyBorder="1" applyAlignment="1" applyProtection="1">
      <alignment horizontal="right"/>
      <protection locked="0"/>
    </xf>
    <xf numFmtId="44" fontId="12" fillId="5" borderId="39" xfId="0" applyNumberFormat="1" applyFont="1" applyFill="1" applyBorder="1" applyAlignment="1" applyProtection="1">
      <alignment horizontal="right"/>
      <protection locked="0"/>
    </xf>
    <xf numFmtId="44" fontId="12" fillId="5" borderId="36" xfId="1" applyNumberFormat="1" applyFont="1" applyFill="1" applyBorder="1" applyAlignment="1" applyProtection="1">
      <alignment horizontal="right" vertical="center"/>
      <protection locked="0"/>
    </xf>
    <xf numFmtId="44" fontId="12" fillId="5" borderId="17" xfId="1" applyNumberFormat="1" applyFont="1" applyFill="1" applyBorder="1" applyAlignment="1" applyProtection="1">
      <alignment horizontal="right" vertical="center"/>
      <protection locked="0"/>
    </xf>
    <xf numFmtId="44" fontId="12" fillId="5" borderId="16" xfId="1" applyNumberFormat="1" applyFont="1" applyFill="1" applyBorder="1" applyAlignment="1" applyProtection="1">
      <alignment horizontal="right" vertical="center"/>
      <protection locked="0"/>
    </xf>
    <xf numFmtId="44" fontId="12" fillId="5" borderId="19" xfId="1" applyNumberFormat="1" applyFont="1" applyFill="1" applyBorder="1" applyAlignment="1" applyProtection="1">
      <alignment horizontal="right" vertical="center"/>
      <protection locked="0"/>
    </xf>
    <xf numFmtId="44" fontId="12" fillId="6" borderId="38" xfId="0" applyNumberFormat="1" applyFont="1" applyFill="1" applyBorder="1" applyAlignment="1" applyProtection="1">
      <alignment horizontal="right"/>
      <protection locked="0"/>
    </xf>
    <xf numFmtId="44" fontId="12" fillId="6" borderId="39" xfId="0" applyNumberFormat="1" applyFont="1" applyFill="1" applyBorder="1" applyAlignment="1" applyProtection="1">
      <alignment horizontal="right"/>
      <protection locked="0"/>
    </xf>
    <xf numFmtId="44" fontId="12" fillId="6" borderId="36" xfId="1" applyNumberFormat="1" applyFont="1" applyFill="1" applyBorder="1" applyAlignment="1" applyProtection="1">
      <alignment horizontal="right" vertical="center"/>
      <protection locked="0"/>
    </xf>
    <xf numFmtId="44" fontId="12" fillId="6" borderId="17" xfId="1" applyNumberFormat="1" applyFont="1" applyFill="1" applyBorder="1" applyAlignment="1" applyProtection="1">
      <alignment horizontal="right" vertical="center"/>
      <protection locked="0"/>
    </xf>
    <xf numFmtId="44" fontId="12" fillId="6" borderId="16" xfId="1" applyNumberFormat="1" applyFont="1" applyFill="1" applyBorder="1" applyAlignment="1" applyProtection="1">
      <alignment horizontal="right" vertical="center"/>
      <protection locked="0"/>
    </xf>
    <xf numFmtId="44" fontId="12" fillId="6" borderId="19" xfId="1" applyNumberFormat="1" applyFont="1" applyFill="1" applyBorder="1" applyAlignment="1" applyProtection="1">
      <alignment horizontal="right" vertical="center"/>
      <protection locked="0"/>
    </xf>
    <xf numFmtId="0" fontId="0" fillId="0" borderId="0" xfId="0" applyAlignment="1">
      <alignment horizontal="center"/>
    </xf>
    <xf numFmtId="0" fontId="0" fillId="0" borderId="0" xfId="0" applyAlignment="1">
      <alignment horizontal="center" vertical="top"/>
    </xf>
    <xf numFmtId="0" fontId="56" fillId="3" borderId="20" xfId="0" applyFont="1" applyFill="1" applyBorder="1" applyAlignment="1">
      <alignment horizontal="center"/>
    </xf>
    <xf numFmtId="0" fontId="56" fillId="3" borderId="22" xfId="0" applyFont="1" applyFill="1" applyBorder="1" applyAlignment="1">
      <alignment horizontal="center"/>
    </xf>
    <xf numFmtId="0" fontId="56" fillId="3" borderId="21" xfId="0" applyFont="1" applyFill="1" applyBorder="1" applyAlignment="1">
      <alignment horizontal="center"/>
    </xf>
    <xf numFmtId="14" fontId="14" fillId="4" borderId="20" xfId="0" applyNumberFormat="1" applyFont="1" applyFill="1" applyBorder="1" applyAlignment="1" applyProtection="1">
      <alignment horizontal="center" vertical="center" wrapText="1"/>
      <protection locked="0"/>
    </xf>
    <xf numFmtId="14" fontId="14" fillId="4" borderId="21" xfId="0" applyNumberFormat="1"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wrapText="1"/>
      <protection locked="0"/>
    </xf>
    <xf numFmtId="0" fontId="13" fillId="4" borderId="12" xfId="0" applyFont="1" applyFill="1" applyBorder="1" applyAlignment="1" applyProtection="1">
      <alignment horizontal="center" vertical="center" wrapText="1"/>
      <protection locked="0"/>
    </xf>
    <xf numFmtId="0" fontId="13" fillId="4" borderId="13"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24"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13" fillId="4" borderId="9"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56" fillId="3" borderId="20" xfId="0" applyFont="1" applyFill="1" applyBorder="1" applyAlignment="1">
      <alignment horizontal="center" vertical="center"/>
    </xf>
    <xf numFmtId="0" fontId="56" fillId="3" borderId="22" xfId="0" applyFont="1" applyFill="1" applyBorder="1" applyAlignment="1">
      <alignment horizontal="center" vertical="center"/>
    </xf>
    <xf numFmtId="0" fontId="56" fillId="3" borderId="21" xfId="0" applyFont="1" applyFill="1" applyBorder="1" applyAlignment="1">
      <alignment horizontal="center" vertical="center"/>
    </xf>
    <xf numFmtId="0" fontId="14" fillId="4" borderId="22" xfId="0" applyNumberFormat="1" applyFont="1" applyFill="1" applyBorder="1" applyAlignment="1" applyProtection="1">
      <alignment horizontal="center" vertical="center" wrapText="1"/>
      <protection locked="0"/>
    </xf>
    <xf numFmtId="0" fontId="14" fillId="4" borderId="21" xfId="0" applyNumberFormat="1" applyFont="1" applyFill="1" applyBorder="1" applyAlignment="1" applyProtection="1">
      <alignment horizontal="center" vertical="center" wrapText="1"/>
      <protection locked="0"/>
    </xf>
    <xf numFmtId="0" fontId="11" fillId="3" borderId="7"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5" xfId="0" applyFont="1" applyFill="1" applyBorder="1" applyAlignment="1">
      <alignment horizontal="center" vertical="top" wrapText="1"/>
    </xf>
    <xf numFmtId="0" fontId="0" fillId="0" borderId="0" xfId="0" applyAlignment="1">
      <alignment horizontal="center" vertical="top" wrapText="1"/>
    </xf>
    <xf numFmtId="0" fontId="27" fillId="0" borderId="0" xfId="0" applyFont="1" applyBorder="1" applyAlignment="1">
      <alignment horizontal="left" vertical="center" wrapText="1"/>
    </xf>
    <xf numFmtId="44" fontId="12" fillId="5" borderId="40" xfId="0" applyNumberFormat="1" applyFont="1" applyFill="1" applyBorder="1" applyAlignment="1">
      <alignment horizontal="center"/>
    </xf>
    <xf numFmtId="44" fontId="12" fillId="5" borderId="41" xfId="0" applyNumberFormat="1" applyFont="1" applyFill="1" applyBorder="1" applyAlignment="1">
      <alignment horizontal="center"/>
    </xf>
    <xf numFmtId="44" fontId="0" fillId="5" borderId="40" xfId="0" applyNumberFormat="1" applyFill="1" applyBorder="1" applyAlignment="1" applyProtection="1">
      <alignment horizontal="center"/>
      <protection locked="0"/>
    </xf>
    <xf numFmtId="44" fontId="0" fillId="5" borderId="41" xfId="0" applyNumberFormat="1" applyFill="1" applyBorder="1" applyAlignment="1" applyProtection="1">
      <alignment horizontal="center"/>
      <protection locked="0"/>
    </xf>
    <xf numFmtId="0" fontId="18" fillId="0" borderId="27"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8" fillId="0" borderId="34" xfId="0" applyFont="1" applyFill="1" applyBorder="1" applyAlignment="1">
      <alignment horizontal="center" vertical="center" wrapText="1"/>
    </xf>
  </cellXfs>
  <cellStyles count="5">
    <cellStyle name="Lien hypertexte" xfId="3" builtinId="8"/>
    <cellStyle name="Milliers" xfId="4" builtinId="3"/>
    <cellStyle name="Monétaire" xfId="1" builtinId="4"/>
    <cellStyle name="Normal" xfId="0" builtinId="0"/>
    <cellStyle name="Pourcentage" xfId="2" builtinId="5"/>
  </cellStyles>
  <dxfs count="15">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9C0006"/>
      </font>
    </dxf>
    <dxf>
      <font>
        <color rgb="FF00B050"/>
      </font>
    </dxf>
    <dxf>
      <font>
        <color rgb="FF00B050"/>
      </font>
    </dxf>
    <dxf>
      <font>
        <color rgb="FFC00000"/>
      </font>
    </dxf>
    <dxf>
      <font>
        <color rgb="FF00B050"/>
      </font>
    </dxf>
    <dxf>
      <font>
        <color rgb="FFC00000"/>
      </font>
    </dxf>
    <dxf>
      <font>
        <color rgb="FFC00000"/>
      </font>
    </dxf>
  </dxfs>
  <tableStyles count="0" defaultTableStyle="TableStyleMedium2" defaultPivotStyle="PivotStyleLight16"/>
  <colors>
    <mruColors>
      <color rgb="FFFAC230"/>
      <color rgb="FF0D4174"/>
      <color rgb="FF8EC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Annexes!$F$5" fmlaRange="Annexes!$B$4:$B$85" noThreeD="1" sel="1" val="0"/>
</file>

<file path=xl/ctrlProps/ctrlProp10.xml><?xml version="1.0" encoding="utf-8"?>
<formControlPr xmlns="http://schemas.microsoft.com/office/spreadsheetml/2009/9/main" objectType="CheckBox" fmlaLink="Annexes!$M$19" lockText="1" noThreeD="1"/>
</file>

<file path=xl/ctrlProps/ctrlProp11.xml><?xml version="1.0" encoding="utf-8"?>
<formControlPr xmlns="http://schemas.microsoft.com/office/spreadsheetml/2009/9/main" objectType="CheckBox" fmlaLink="Annexes!$M$21" lockText="1" noThreeD="1"/>
</file>

<file path=xl/ctrlProps/ctrlProp12.xml><?xml version="1.0" encoding="utf-8"?>
<formControlPr xmlns="http://schemas.microsoft.com/office/spreadsheetml/2009/9/main" objectType="CheckBox" fmlaLink="Annexes!$M$23" lockText="1" noThreeD="1"/>
</file>

<file path=xl/ctrlProps/ctrlProp13.xml><?xml version="1.0" encoding="utf-8"?>
<formControlPr xmlns="http://schemas.microsoft.com/office/spreadsheetml/2009/9/main" objectType="CheckBox" fmlaLink="Annexes!$M$26" lockText="1" noThreeD="1"/>
</file>

<file path=xl/ctrlProps/ctrlProp14.xml><?xml version="1.0" encoding="utf-8"?>
<formControlPr xmlns="http://schemas.microsoft.com/office/spreadsheetml/2009/9/main" objectType="CheckBox" fmlaLink="Annexes!$M$27" lockText="1" noThreeD="1"/>
</file>

<file path=xl/ctrlProps/ctrlProp15.xml><?xml version="1.0" encoding="utf-8"?>
<formControlPr xmlns="http://schemas.microsoft.com/office/spreadsheetml/2009/9/main" objectType="CheckBox" fmlaLink="Annexes!$M$29" lockText="1" noThreeD="1"/>
</file>

<file path=xl/ctrlProps/ctrlProp16.xml><?xml version="1.0" encoding="utf-8"?>
<formControlPr xmlns="http://schemas.microsoft.com/office/spreadsheetml/2009/9/main" objectType="CheckBox" fmlaLink="Annexes!$M$30" lockText="1" noThreeD="1"/>
</file>

<file path=xl/ctrlProps/ctrlProp17.xml><?xml version="1.0" encoding="utf-8"?>
<formControlPr xmlns="http://schemas.microsoft.com/office/spreadsheetml/2009/9/main" objectType="CheckBox" fmlaLink="Annexes!$M$24" lockText="1" noThreeD="1"/>
</file>

<file path=xl/ctrlProps/ctrlProp18.xml><?xml version="1.0" encoding="utf-8"?>
<formControlPr xmlns="http://schemas.microsoft.com/office/spreadsheetml/2009/9/main" objectType="Drop" dropStyle="combo" dx="16" fmlaLink="Annexes!$V$6" fmlaRange="Annexes!$T$5:$T$14" noThreeD="1" sel="1" val="0"/>
</file>

<file path=xl/ctrlProps/ctrlProp2.xml><?xml version="1.0" encoding="utf-8"?>
<formControlPr xmlns="http://schemas.microsoft.com/office/spreadsheetml/2009/9/main" objectType="Drop" dropStyle="combo" dx="16" fmlaLink="Annexes!$F$7" fmlaRange="Annexes!$D$4:$D$141" noThreeD="1" sel="1" val="0"/>
</file>

<file path=xl/ctrlProps/ctrlProp3.xml><?xml version="1.0" encoding="utf-8"?>
<formControlPr xmlns="http://schemas.microsoft.com/office/spreadsheetml/2009/9/main" objectType="CheckBox" fmlaLink="Annexes!$M$9" lockText="1" noThreeD="1"/>
</file>

<file path=xl/ctrlProps/ctrlProp4.xml><?xml version="1.0" encoding="utf-8"?>
<formControlPr xmlns="http://schemas.microsoft.com/office/spreadsheetml/2009/9/main" objectType="CheckBox" fmlaLink="Annexes!$M$13" lockText="1" noThreeD="1"/>
</file>

<file path=xl/ctrlProps/ctrlProp5.xml><?xml version="1.0" encoding="utf-8"?>
<formControlPr xmlns="http://schemas.microsoft.com/office/spreadsheetml/2009/9/main" objectType="Drop" dropStyle="combo" dx="16" fmlaLink="Annexes!$M$4" fmlaRange="Annexes!$I$4:$I$10" noThreeD="1" sel="1" val="0"/>
</file>

<file path=xl/ctrlProps/ctrlProp6.xml><?xml version="1.0" encoding="utf-8"?>
<formControlPr xmlns="http://schemas.microsoft.com/office/spreadsheetml/2009/9/main" objectType="Drop" dropStyle="combo" dx="16" fmlaLink="Annexes!$M$6" fmlaRange="Annexes!$J$4:$J$35" noThreeD="1" sel="1" val="0"/>
</file>

<file path=xl/ctrlProps/ctrlProp7.xml><?xml version="1.0" encoding="utf-8"?>
<formControlPr xmlns="http://schemas.microsoft.com/office/spreadsheetml/2009/9/main" objectType="CheckBox" fmlaLink="Annexes!$M$11" lockText="1" noThreeD="1"/>
</file>

<file path=xl/ctrlProps/ctrlProp8.xml><?xml version="1.0" encoding="utf-8"?>
<formControlPr xmlns="http://schemas.microsoft.com/office/spreadsheetml/2009/9/main" objectType="CheckBox" fmlaLink="Annexes!$M$15" lockText="1" noThreeD="1"/>
</file>

<file path=xl/ctrlProps/ctrlProp9.xml><?xml version="1.0" encoding="utf-8"?>
<formControlPr xmlns="http://schemas.microsoft.com/office/spreadsheetml/2009/9/main" objectType="CheckBox" fmlaLink="Annexes!$M$1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arcolib.fr/" TargetMode="External"/><Relationship Id="rId4" Type="http://schemas.openxmlformats.org/officeDocument/2006/relationships/hyperlink" Target="https://www.impots.gouv.fr/portail/files/media/cabcom/covid19/fonds_soutien_pas_a_pas_tpe_v8.pdf"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rcolib.fr/"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14</xdr:row>
          <xdr:rowOff>0</xdr:rowOff>
        </xdr:from>
        <xdr:to>
          <xdr:col>15</xdr:col>
          <xdr:colOff>666750</xdr:colOff>
          <xdr:row>15</xdr:row>
          <xdr:rowOff>0</xdr:rowOff>
        </xdr:to>
        <xdr:sp macro="" textlink="">
          <xdr:nvSpPr>
            <xdr:cNvPr id="2052" name="Drop Dow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0</xdr:rowOff>
        </xdr:from>
        <xdr:to>
          <xdr:col>15</xdr:col>
          <xdr:colOff>676275</xdr:colOff>
          <xdr:row>17</xdr:row>
          <xdr:rowOff>0</xdr:rowOff>
        </xdr:to>
        <xdr:sp macro="" textlink="">
          <xdr:nvSpPr>
            <xdr:cNvPr id="2053" name="Drop Dow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0</xdr:rowOff>
        </xdr:from>
        <xdr:to>
          <xdr:col>9</xdr:col>
          <xdr:colOff>542925</xdr:colOff>
          <xdr:row>34</xdr:row>
          <xdr:rowOff>0</xdr:rowOff>
        </xdr:to>
        <xdr:sp macro="" textlink="">
          <xdr:nvSpPr>
            <xdr:cNvPr id="2054" name="Check Box 6" descr="Interdiction d'accueil du public (du ... au ...)"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9525</xdr:rowOff>
        </xdr:from>
        <xdr:to>
          <xdr:col>9</xdr:col>
          <xdr:colOff>542925</xdr:colOff>
          <xdr:row>31</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36</xdr:row>
          <xdr:rowOff>180975</xdr:rowOff>
        </xdr:from>
        <xdr:to>
          <xdr:col>12</xdr:col>
          <xdr:colOff>800100</xdr:colOff>
          <xdr:row>38</xdr:row>
          <xdr:rowOff>9525</xdr:rowOff>
        </xdr:to>
        <xdr:sp macro="" textlink="">
          <xdr:nvSpPr>
            <xdr:cNvPr id="2056" name="Drop Down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37</xdr:row>
          <xdr:rowOff>9525</xdr:rowOff>
        </xdr:from>
        <xdr:to>
          <xdr:col>15</xdr:col>
          <xdr:colOff>790575</xdr:colOff>
          <xdr:row>38</xdr:row>
          <xdr:rowOff>9525</xdr:rowOff>
        </xdr:to>
        <xdr:sp macro="" textlink="">
          <xdr:nvSpPr>
            <xdr:cNvPr id="2057" name="Drop Dow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9525</xdr:rowOff>
        </xdr:from>
        <xdr:to>
          <xdr:col>9</xdr:col>
          <xdr:colOff>571500</xdr:colOff>
          <xdr:row>46</xdr:row>
          <xdr:rowOff>180975</xdr:rowOff>
        </xdr:to>
        <xdr:sp macro="" textlink="">
          <xdr:nvSpPr>
            <xdr:cNvPr id="2058" name="Check Box 10" descr="Interdiction d'accueil du public (du ... au ...)"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76200</xdr:colOff>
      <xdr:row>1</xdr:row>
      <xdr:rowOff>38100</xdr:rowOff>
    </xdr:from>
    <xdr:to>
      <xdr:col>6</xdr:col>
      <xdr:colOff>219075</xdr:colOff>
      <xdr:row>6</xdr:row>
      <xdr:rowOff>166620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685800" y="238125"/>
          <a:ext cx="2257425" cy="1081020"/>
        </a:xfrm>
        <a:prstGeom prst="rect">
          <a:avLst/>
        </a:prstGeom>
      </xdr:spPr>
    </xdr:pic>
    <xdr:clientData/>
  </xdr:twoCellAnchor>
  <xdr:twoCellAnchor editAs="oneCell">
    <xdr:from>
      <xdr:col>23</xdr:col>
      <xdr:colOff>161925</xdr:colOff>
      <xdr:row>29</xdr:row>
      <xdr:rowOff>142875</xdr:rowOff>
    </xdr:from>
    <xdr:to>
      <xdr:col>29</xdr:col>
      <xdr:colOff>294775</xdr:colOff>
      <xdr:row>80</xdr:row>
      <xdr:rowOff>56061</xdr:rowOff>
    </xdr:to>
    <xdr:pic>
      <xdr:nvPicPr>
        <xdr:cNvPr id="12" name="Imag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13782675" y="4524375"/>
          <a:ext cx="4000000" cy="8714286"/>
        </a:xfrm>
        <a:prstGeom prst="rect">
          <a:avLst/>
        </a:prstGeom>
      </xdr:spPr>
    </xdr:pic>
    <xdr:clientData/>
  </xdr:twoCellAnchor>
  <xdr:twoCellAnchor>
    <xdr:from>
      <xdr:col>20</xdr:col>
      <xdr:colOff>685801</xdr:colOff>
      <xdr:row>31</xdr:row>
      <xdr:rowOff>57149</xdr:rowOff>
    </xdr:from>
    <xdr:to>
      <xdr:col>25</xdr:col>
      <xdr:colOff>238126</xdr:colOff>
      <xdr:row>41</xdr:row>
      <xdr:rowOff>28573</xdr:rowOff>
    </xdr:to>
    <xdr:sp macro="" textlink="">
      <xdr:nvSpPr>
        <xdr:cNvPr id="16" name="Bulle ronde 15">
          <a:extLst>
            <a:ext uri="{FF2B5EF4-FFF2-40B4-BE49-F238E27FC236}">
              <a16:creationId xmlns:a16="http://schemas.microsoft.com/office/drawing/2014/main" id="{00000000-0008-0000-0000-000010000000}"/>
            </a:ext>
          </a:extLst>
        </xdr:cNvPr>
        <xdr:cNvSpPr/>
      </xdr:nvSpPr>
      <xdr:spPr>
        <a:xfrm>
          <a:off x="12458701" y="4638674"/>
          <a:ext cx="2628900" cy="914399"/>
        </a:xfrm>
        <a:prstGeom prst="wedgeEllipseCallout">
          <a:avLst>
            <a:gd name="adj1" fmla="val 40747"/>
            <a:gd name="adj2" fmla="val 67233"/>
          </a:avLst>
        </a:prstGeom>
        <a:solidFill>
          <a:srgbClr val="0D417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Une question ? documentation@arcolib.fr</a:t>
          </a:r>
          <a:endParaRPr lang="fr-FR" sz="1200">
            <a:effectLst/>
          </a:endParaRPr>
        </a:p>
      </xdr:txBody>
    </xdr:sp>
    <xdr:clientData/>
  </xdr:twoCellAnchor>
  <xdr:twoCellAnchor>
    <xdr:from>
      <xdr:col>1</xdr:col>
      <xdr:colOff>304798</xdr:colOff>
      <xdr:row>23</xdr:row>
      <xdr:rowOff>0</xdr:rowOff>
    </xdr:from>
    <xdr:to>
      <xdr:col>2</xdr:col>
      <xdr:colOff>19049</xdr:colOff>
      <xdr:row>63</xdr:row>
      <xdr:rowOff>76200</xdr:rowOff>
    </xdr:to>
    <xdr:sp macro="" textlink="">
      <xdr:nvSpPr>
        <xdr:cNvPr id="2" name="Accolade ouvrante 1">
          <a:extLst>
            <a:ext uri="{FF2B5EF4-FFF2-40B4-BE49-F238E27FC236}">
              <a16:creationId xmlns:a16="http://schemas.microsoft.com/office/drawing/2014/main" id="{00000000-0008-0000-0000-000002000000}"/>
            </a:ext>
          </a:extLst>
        </xdr:cNvPr>
        <xdr:cNvSpPr/>
      </xdr:nvSpPr>
      <xdr:spPr>
        <a:xfrm>
          <a:off x="914398" y="4572000"/>
          <a:ext cx="228601" cy="69913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0</xdr:col>
      <xdr:colOff>28575</xdr:colOff>
      <xdr:row>33</xdr:row>
      <xdr:rowOff>0</xdr:rowOff>
    </xdr:from>
    <xdr:to>
      <xdr:col>1</xdr:col>
      <xdr:colOff>485775</xdr:colOff>
      <xdr:row>36</xdr:row>
      <xdr:rowOff>57150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575" y="6743700"/>
          <a:ext cx="1066800" cy="533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48</xdr:row>
          <xdr:rowOff>9525</xdr:rowOff>
        </xdr:from>
        <xdr:to>
          <xdr:col>9</xdr:col>
          <xdr:colOff>571500</xdr:colOff>
          <xdr:row>48</xdr:row>
          <xdr:rowOff>180975</xdr:rowOff>
        </xdr:to>
        <xdr:sp macro="" textlink="">
          <xdr:nvSpPr>
            <xdr:cNvPr id="2059" name="Check Box 11" descr="Interdiction d'accueil du public (du ... au ...)"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9525</xdr:rowOff>
        </xdr:from>
        <xdr:to>
          <xdr:col>10</xdr:col>
          <xdr:colOff>47625</xdr:colOff>
          <xdr:row>24</xdr:row>
          <xdr:rowOff>9525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51</xdr:row>
          <xdr:rowOff>9525</xdr:rowOff>
        </xdr:from>
        <xdr:to>
          <xdr:col>9</xdr:col>
          <xdr:colOff>571500</xdr:colOff>
          <xdr:row>51</xdr:row>
          <xdr:rowOff>180975</xdr:rowOff>
        </xdr:to>
        <xdr:sp macro="" textlink="">
          <xdr:nvSpPr>
            <xdr:cNvPr id="2063" name="Check Box 15" descr="Interdiction d'accueil du public (du ... au ...)"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9</xdr:col>
          <xdr:colOff>571500</xdr:colOff>
          <xdr:row>53</xdr:row>
          <xdr:rowOff>180975</xdr:rowOff>
        </xdr:to>
        <xdr:sp macro="" textlink="">
          <xdr:nvSpPr>
            <xdr:cNvPr id="2064" name="Check Box 16" descr="Interdiction d'accueil du public (du ... au ...)"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10</xdr:col>
          <xdr:colOff>47625</xdr:colOff>
          <xdr:row>25</xdr:row>
          <xdr:rowOff>209550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55</xdr:row>
          <xdr:rowOff>9525</xdr:rowOff>
        </xdr:from>
        <xdr:to>
          <xdr:col>9</xdr:col>
          <xdr:colOff>571500</xdr:colOff>
          <xdr:row>55</xdr:row>
          <xdr:rowOff>180975</xdr:rowOff>
        </xdr:to>
        <xdr:sp macro="" textlink="">
          <xdr:nvSpPr>
            <xdr:cNvPr id="2066" name="Check Box 18" descr="Interdiction d'accueil du public (du ... au ...)"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57</xdr:row>
          <xdr:rowOff>9525</xdr:rowOff>
        </xdr:from>
        <xdr:to>
          <xdr:col>9</xdr:col>
          <xdr:colOff>571500</xdr:colOff>
          <xdr:row>57</xdr:row>
          <xdr:rowOff>180975</xdr:rowOff>
        </xdr:to>
        <xdr:sp macro="" textlink="">
          <xdr:nvSpPr>
            <xdr:cNvPr id="2068" name="Check Box 20" descr="Interdiction d'accueil du public (du ... au ...)"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638175</xdr:colOff>
      <xdr:row>45</xdr:row>
      <xdr:rowOff>38100</xdr:rowOff>
    </xdr:from>
    <xdr:to>
      <xdr:col>22</xdr:col>
      <xdr:colOff>447675</xdr:colOff>
      <xdr:row>54</xdr:row>
      <xdr:rowOff>114300</xdr:rowOff>
    </xdr:to>
    <xdr:sp macro="" textlink="">
      <xdr:nvSpPr>
        <xdr:cNvPr id="3" name="Ellipse 2"/>
        <xdr:cNvSpPr/>
      </xdr:nvSpPr>
      <xdr:spPr>
        <a:xfrm>
          <a:off x="11849100" y="7600950"/>
          <a:ext cx="2409825" cy="1885950"/>
        </a:xfrm>
        <a:prstGeom prst="ellipse">
          <a:avLst/>
        </a:prstGeom>
        <a:solidFill>
          <a:srgbClr val="0D4174"/>
        </a:solidFill>
        <a:ln>
          <a:solidFill>
            <a:srgbClr val="0D417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i="0">
              <a:solidFill>
                <a:schemeClr val="lt1"/>
              </a:solidFill>
              <a:effectLst/>
              <a:latin typeface="+mn-lt"/>
              <a:ea typeface="+mn-ea"/>
              <a:cs typeface="+mn-cs"/>
            </a:rPr>
            <a:t>Calcul</a:t>
          </a:r>
          <a:r>
            <a:rPr lang="fr-FR" sz="1100" b="1" i="0" baseline="0">
              <a:solidFill>
                <a:schemeClr val="lt1"/>
              </a:solidFill>
              <a:effectLst/>
              <a:latin typeface="+mn-lt"/>
              <a:ea typeface="+mn-ea"/>
              <a:cs typeface="+mn-cs"/>
            </a:rPr>
            <a:t> </a:t>
          </a:r>
          <a:r>
            <a:rPr lang="fr-FR" sz="1100" b="1" i="0">
              <a:solidFill>
                <a:schemeClr val="lt1"/>
              </a:solidFill>
              <a:effectLst/>
              <a:latin typeface="+mn-lt"/>
              <a:ea typeface="+mn-ea"/>
              <a:cs typeface="+mn-cs"/>
            </a:rPr>
            <a:t>de l'aide complémentaire du Fonds de Solidarité dite "Coûts fixes"</a:t>
          </a:r>
          <a:r>
            <a:rPr lang="fr-FR" sz="1100" b="1" i="0" baseline="0">
              <a:solidFill>
                <a:schemeClr val="lt1"/>
              </a:solidFill>
              <a:effectLst/>
              <a:latin typeface="+mn-lt"/>
              <a:ea typeface="+mn-ea"/>
              <a:cs typeface="+mn-cs"/>
            </a:rPr>
            <a:t> dans le dernier onglet de ce fichier</a:t>
          </a:r>
          <a:endParaRPr lang="fr-FR" sz="1100">
            <a:solidFill>
              <a:srgbClr val="0D4174"/>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59</xdr:row>
          <xdr:rowOff>9525</xdr:rowOff>
        </xdr:from>
        <xdr:to>
          <xdr:col>9</xdr:col>
          <xdr:colOff>571500</xdr:colOff>
          <xdr:row>59</xdr:row>
          <xdr:rowOff>180975</xdr:rowOff>
        </xdr:to>
        <xdr:sp macro="" textlink="">
          <xdr:nvSpPr>
            <xdr:cNvPr id="2069" name="Check Box 21" descr="Interdiction d'accueil du public (du ... au ...)"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61</xdr:row>
          <xdr:rowOff>9525</xdr:rowOff>
        </xdr:from>
        <xdr:to>
          <xdr:col>9</xdr:col>
          <xdr:colOff>571500</xdr:colOff>
          <xdr:row>61</xdr:row>
          <xdr:rowOff>180975</xdr:rowOff>
        </xdr:to>
        <xdr:sp macro="" textlink="">
          <xdr:nvSpPr>
            <xdr:cNvPr id="2070" name="Check Box 22" descr="Interdiction d'accueil du public (du ... au ...)"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27</xdr:row>
          <xdr:rowOff>9525</xdr:rowOff>
        </xdr:from>
        <xdr:to>
          <xdr:col>10</xdr:col>
          <xdr:colOff>47625</xdr:colOff>
          <xdr:row>28</xdr:row>
          <xdr:rowOff>9525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31</xdr:col>
      <xdr:colOff>114300</xdr:colOff>
      <xdr:row>1</xdr:row>
      <xdr:rowOff>28575</xdr:rowOff>
    </xdr:from>
    <xdr:to>
      <xdr:col>38</xdr:col>
      <xdr:colOff>256490</xdr:colOff>
      <xdr:row>93</xdr:row>
      <xdr:rowOff>75119</xdr:rowOff>
    </xdr:to>
    <xdr:pic>
      <xdr:nvPicPr>
        <xdr:cNvPr id="6" name="Image 5"/>
        <xdr:cNvPicPr>
          <a:picLocks noChangeAspect="1"/>
        </xdr:cNvPicPr>
      </xdr:nvPicPr>
      <xdr:blipFill>
        <a:blip xmlns:r="http://schemas.openxmlformats.org/officeDocument/2006/relationships" r:embed="rId3"/>
        <a:stretch>
          <a:fillRect/>
        </a:stretch>
      </xdr:blipFill>
      <xdr:spPr>
        <a:xfrm>
          <a:off x="19059525" y="219075"/>
          <a:ext cx="5476190" cy="8647619"/>
        </a:xfrm>
        <a:prstGeom prst="rect">
          <a:avLst/>
        </a:prstGeom>
      </xdr:spPr>
    </xdr:pic>
    <xdr:clientData/>
  </xdr:twoCellAnchor>
  <xdr:twoCellAnchor>
    <xdr:from>
      <xdr:col>16</xdr:col>
      <xdr:colOff>466724</xdr:colOff>
      <xdr:row>3</xdr:row>
      <xdr:rowOff>28575</xdr:rowOff>
    </xdr:from>
    <xdr:to>
      <xdr:col>32</xdr:col>
      <xdr:colOff>200024</xdr:colOff>
      <xdr:row>12</xdr:row>
      <xdr:rowOff>9524</xdr:rowOff>
    </xdr:to>
    <xdr:sp macro="" textlink="">
      <xdr:nvSpPr>
        <xdr:cNvPr id="8" name="Bulle ronde 7">
          <a:hlinkClick xmlns:r="http://schemas.openxmlformats.org/officeDocument/2006/relationships" r:id="rId4"/>
          <a:extLst>
            <a:ext uri="{FF2B5EF4-FFF2-40B4-BE49-F238E27FC236}">
              <a16:creationId xmlns:a16="http://schemas.microsoft.com/office/drawing/2014/main" id="{00000000-0008-0000-0000-000010000000}"/>
            </a:ext>
          </a:extLst>
        </xdr:cNvPr>
        <xdr:cNvSpPr/>
      </xdr:nvSpPr>
      <xdr:spPr>
        <a:xfrm>
          <a:off x="10363199" y="600075"/>
          <a:ext cx="9544050" cy="1714499"/>
        </a:xfrm>
        <a:prstGeom prst="wedgeEllipseCallout">
          <a:avLst>
            <a:gd name="adj1" fmla="val 47709"/>
            <a:gd name="adj2" fmla="val 51909"/>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b="1">
              <a:solidFill>
                <a:schemeClr val="lt1"/>
              </a:solidFill>
              <a:effectLst/>
              <a:latin typeface="+mn-lt"/>
              <a:ea typeface="+mn-ea"/>
              <a:cs typeface="+mn-cs"/>
            </a:rPr>
            <a:t>Pour demander effectivement l'aide, nous vous laissons le soin de vous diriger vers la</a:t>
          </a:r>
          <a:r>
            <a:rPr lang="fr-FR" sz="1100" b="1" baseline="0">
              <a:solidFill>
                <a:schemeClr val="lt1"/>
              </a:solidFill>
              <a:effectLst/>
              <a:latin typeface="+mn-lt"/>
              <a:ea typeface="+mn-ea"/>
              <a:cs typeface="+mn-cs"/>
            </a:rPr>
            <a:t> procédure </a:t>
          </a:r>
          <a:r>
            <a:rPr lang="fr-FR" sz="1100" b="1">
              <a:solidFill>
                <a:schemeClr val="lt1"/>
              </a:solidFill>
              <a:effectLst/>
              <a:latin typeface="+mn-lt"/>
              <a:ea typeface="+mn-ea"/>
              <a:cs typeface="+mn-cs"/>
            </a:rPr>
            <a:t> en</a:t>
          </a:r>
          <a:r>
            <a:rPr lang="fr-FR" sz="1100" b="1" baseline="0">
              <a:solidFill>
                <a:schemeClr val="lt1"/>
              </a:solidFill>
              <a:effectLst/>
              <a:latin typeface="+mn-lt"/>
              <a:ea typeface="+mn-ea"/>
              <a:cs typeface="+mn-cs"/>
            </a:rPr>
            <a:t> cliquant ici</a:t>
          </a:r>
          <a:endParaRPr lang="fr-FR"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95250</xdr:rowOff>
    </xdr:from>
    <xdr:to>
      <xdr:col>4</xdr:col>
      <xdr:colOff>381000</xdr:colOff>
      <xdr:row>6</xdr:row>
      <xdr:rowOff>33270</xdr:rowOff>
    </xdr:to>
    <xdr:pic>
      <xdr:nvPicPr>
        <xdr:cNvPr id="2" name="Imag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6" name="Image 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5" name="Image 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9" name="Image 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2" name="Image 1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8" name="Image 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0" name="Image 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4" name="Image 1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1" name="Image 10">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3" name="Image 1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7" name="Image 16">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5" name="Image 1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9" name="Image 18">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2" name="Image 2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18" name="Image 17">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0" name="Image 19">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1" name="Image 20">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3" name="Image 2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4" name="Image 23">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twoCellAnchor editAs="oneCell">
    <xdr:from>
      <xdr:col>0</xdr:col>
      <xdr:colOff>314325</xdr:colOff>
      <xdr:row>0</xdr:row>
      <xdr:rowOff>95250</xdr:rowOff>
    </xdr:from>
    <xdr:to>
      <xdr:col>4</xdr:col>
      <xdr:colOff>381000</xdr:colOff>
      <xdr:row>6</xdr:row>
      <xdr:rowOff>33270</xdr:rowOff>
    </xdr:to>
    <xdr:pic>
      <xdr:nvPicPr>
        <xdr:cNvPr id="25" name="Image 24">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314325" y="95250"/>
          <a:ext cx="2257425" cy="10810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168087</xdr:colOff>
      <xdr:row>1</xdr:row>
      <xdr:rowOff>0</xdr:rowOff>
    </xdr:from>
    <xdr:to>
      <xdr:col>7</xdr:col>
      <xdr:colOff>371475</xdr:colOff>
      <xdr:row>7</xdr:row>
      <xdr:rowOff>180975</xdr:rowOff>
    </xdr:to>
    <xdr:pic>
      <xdr:nvPicPr>
        <xdr:cNvPr id="20" name="Image 19">
          <a:hlinkClick xmlns:r="http://schemas.openxmlformats.org/officeDocument/2006/relationships" r:id="rId1"/>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a:stretch>
          <a:fillRect/>
        </a:stretch>
      </xdr:blipFill>
      <xdr:spPr>
        <a:xfrm>
          <a:off x="777687" y="200025"/>
          <a:ext cx="2784663" cy="13335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18</xdr:col>
          <xdr:colOff>9525</xdr:colOff>
          <xdr:row>18</xdr:row>
          <xdr:rowOff>0</xdr:rowOff>
        </xdr:to>
        <xdr:sp macro="" textlink="">
          <xdr:nvSpPr>
            <xdr:cNvPr id="6164" name="Drop Down 20"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 Type="http://schemas.openxmlformats.org/officeDocument/2006/relationships/hyperlink" Target="https://www.legifrance.gouv.fr/jorf/id/JORFTEXT000043344793" TargetMode="External"/><Relationship Id="rId21" Type="http://schemas.openxmlformats.org/officeDocument/2006/relationships/ctrlProp" Target="../ctrlProps/ctrlProp12.xml"/><Relationship Id="rId7" Type="http://schemas.openxmlformats.org/officeDocument/2006/relationships/printerSettings" Target="../printerSettings/printerSettings1.bin"/><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2" Type="http://schemas.openxmlformats.org/officeDocument/2006/relationships/hyperlink" Target="https://www.arcolib.fr/content/second-confinement-national-nouvelles-mesures-exceptionnelles-du-fonds-de-solidarit&#233;" TargetMode="External"/><Relationship Id="rId16" Type="http://schemas.openxmlformats.org/officeDocument/2006/relationships/ctrlProp" Target="../ctrlProps/ctrlProp7.xml"/><Relationship Id="rId20" Type="http://schemas.openxmlformats.org/officeDocument/2006/relationships/ctrlProp" Target="../ctrlProps/ctrlProp11.xml"/><Relationship Id="rId1" Type="http://schemas.openxmlformats.org/officeDocument/2006/relationships/hyperlink" Target="https://www.arcolib.fr/sites/default/files/fichiersbasedoc/RESUME_Decret_2020_1328_02112020.pdf" TargetMode="External"/><Relationship Id="rId6" Type="http://schemas.openxmlformats.org/officeDocument/2006/relationships/hyperlink" Target="https://www.arcolib.fr/sites/default/files/fichiersbasedoc/R%C3%A9sum%C3%A9_Prolongation_du_Fonds_de_Solidarit%C3%A9_12.pdf" TargetMode="External"/><Relationship Id="rId11" Type="http://schemas.openxmlformats.org/officeDocument/2006/relationships/ctrlProp" Target="../ctrlProps/ctrlProp2.xml"/><Relationship Id="rId24" Type="http://schemas.openxmlformats.org/officeDocument/2006/relationships/ctrlProp" Target="../ctrlProps/ctrlProp15.xml"/><Relationship Id="rId5" Type="http://schemas.openxmlformats.org/officeDocument/2006/relationships/hyperlink" Target="https://www.legifrance.gouv.fr/loda/id/JORFTEXT000041768315/" TargetMode="External"/><Relationship Id="rId15" Type="http://schemas.openxmlformats.org/officeDocument/2006/relationships/ctrlProp" Target="../ctrlProps/ctrlProp6.xml"/><Relationship Id="rId23" Type="http://schemas.openxmlformats.org/officeDocument/2006/relationships/ctrlProp" Target="../ctrlProps/ctrlProp14.xml"/><Relationship Id="rId10" Type="http://schemas.openxmlformats.org/officeDocument/2006/relationships/ctrlProp" Target="../ctrlProps/ctrlProp1.xml"/><Relationship Id="rId19" Type="http://schemas.openxmlformats.org/officeDocument/2006/relationships/ctrlProp" Target="../ctrlProps/ctrlProp10.xml"/><Relationship Id="rId4" Type="http://schemas.openxmlformats.org/officeDocument/2006/relationships/hyperlink" Target="https://www.legifrance.gouv.fr/jorf/id/JORFTEXT000042475143"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legifrance.gouv.fr/affichTexte.do?cidTexte=JORFTEXT000000607662&amp;categorieLien=cid" TargetMode="External"/><Relationship Id="rId1" Type="http://schemas.openxmlformats.org/officeDocument/2006/relationships/hyperlink" Target="https://www.legifrance.gouv.fr/affichCodeArticle.do?cidTexte=LEGITEXT000006072050&amp;idArticle=LEGIARTI000006902603&amp;dateTexte=&amp;categorieLien=ci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D4174"/>
  </sheetPr>
  <dimension ref="A1:AC201"/>
  <sheetViews>
    <sheetView showGridLines="0" tabSelected="1" zoomScaleNormal="100" workbookViewId="0">
      <selection activeCell="K2" sqref="K2:P4"/>
    </sheetView>
  </sheetViews>
  <sheetFormatPr baseColWidth="10" defaultColWidth="9.140625" defaultRowHeight="15"/>
  <cols>
    <col min="2" max="2" width="7.7109375" customWidth="1"/>
    <col min="3" max="4" width="2.85546875" customWidth="1"/>
    <col min="9" max="9" width="16.28515625" customWidth="1"/>
    <col min="10" max="10" width="13.5703125" customWidth="1"/>
    <col min="11" max="11" width="13.42578125" customWidth="1"/>
    <col min="13" max="13" width="16.28515625" customWidth="1"/>
    <col min="14" max="14" width="3.85546875" customWidth="1"/>
    <col min="15" max="15" width="4.140625" customWidth="1"/>
    <col min="16" max="16" width="13.28515625" customWidth="1"/>
    <col min="17" max="17" width="2.5703125" customWidth="1"/>
    <col min="18" max="18" width="12.140625" customWidth="1"/>
    <col min="19" max="19" width="4.28515625" customWidth="1"/>
    <col min="20" max="20" width="20.28515625" customWidth="1"/>
    <col min="21" max="21" width="16.42578125" customWidth="1"/>
    <col min="22" max="22" width="2.28515625" customWidth="1"/>
    <col min="23" max="25" width="10.7109375" bestFit="1" customWidth="1"/>
  </cols>
  <sheetData>
    <row r="1" spans="2:25" ht="15.75" thickBot="1">
      <c r="B1" s="40"/>
      <c r="C1" s="40"/>
      <c r="D1" s="40"/>
      <c r="E1" s="40"/>
      <c r="F1" s="40"/>
      <c r="G1" s="40"/>
      <c r="H1" s="40"/>
      <c r="I1" s="40"/>
      <c r="J1" s="40"/>
      <c r="K1" s="40"/>
      <c r="L1" s="40"/>
      <c r="M1" s="40"/>
      <c r="N1" s="40"/>
      <c r="O1" s="40"/>
      <c r="P1" s="40"/>
    </row>
    <row r="2" spans="2:25" ht="15" customHeight="1">
      <c r="B2" s="40"/>
      <c r="C2" s="40"/>
      <c r="D2" s="40"/>
      <c r="E2" s="40"/>
      <c r="F2" s="40"/>
      <c r="G2" s="40"/>
      <c r="H2" s="384" t="s">
        <v>14</v>
      </c>
      <c r="I2" s="385"/>
      <c r="J2" s="386"/>
      <c r="K2" s="393"/>
      <c r="L2" s="394"/>
      <c r="M2" s="394"/>
      <c r="N2" s="394"/>
      <c r="O2" s="394"/>
      <c r="P2" s="395"/>
      <c r="S2" s="384" t="s">
        <v>41</v>
      </c>
      <c r="T2" s="385"/>
      <c r="U2" s="385"/>
      <c r="V2" s="386"/>
    </row>
    <row r="3" spans="2:25" ht="15" customHeight="1">
      <c r="B3" s="40"/>
      <c r="C3" s="40"/>
      <c r="D3" s="40"/>
      <c r="E3" s="40"/>
      <c r="F3" s="40"/>
      <c r="G3" s="40"/>
      <c r="H3" s="387"/>
      <c r="I3" s="388"/>
      <c r="J3" s="389"/>
      <c r="K3" s="396"/>
      <c r="L3" s="397"/>
      <c r="M3" s="397"/>
      <c r="N3" s="397"/>
      <c r="O3" s="397"/>
      <c r="P3" s="398"/>
      <c r="S3" s="387"/>
      <c r="T3" s="388"/>
      <c r="U3" s="388"/>
      <c r="V3" s="389"/>
    </row>
    <row r="4" spans="2:25" ht="15" customHeight="1" thickBot="1">
      <c r="B4" s="40"/>
      <c r="C4" s="40"/>
      <c r="D4" s="40"/>
      <c r="E4" s="40"/>
      <c r="F4" s="40"/>
      <c r="G4" s="40"/>
      <c r="H4" s="390"/>
      <c r="I4" s="391"/>
      <c r="J4" s="392"/>
      <c r="K4" s="399"/>
      <c r="L4" s="400"/>
      <c r="M4" s="400"/>
      <c r="N4" s="400"/>
      <c r="O4" s="400"/>
      <c r="P4" s="401"/>
      <c r="S4" s="82"/>
      <c r="T4" s="137" t="s">
        <v>54</v>
      </c>
      <c r="U4" s="138"/>
      <c r="V4" s="81"/>
    </row>
    <row r="5" spans="2:25" ht="15" customHeight="1" thickBot="1">
      <c r="B5" s="40"/>
      <c r="C5" s="40"/>
      <c r="D5" s="40"/>
      <c r="E5" s="40"/>
      <c r="F5" s="40"/>
      <c r="G5" s="40"/>
      <c r="H5" s="41"/>
      <c r="I5" s="41"/>
      <c r="J5" s="41"/>
      <c r="K5" s="42"/>
      <c r="L5" s="42"/>
      <c r="M5" s="42"/>
      <c r="N5" s="42"/>
      <c r="O5" s="42"/>
      <c r="P5" s="42"/>
      <c r="S5" s="82"/>
      <c r="T5" s="423" t="s">
        <v>35</v>
      </c>
      <c r="U5" s="423"/>
      <c r="V5" s="81"/>
    </row>
    <row r="6" spans="2:25" ht="15" customHeight="1" thickBot="1">
      <c r="B6" s="40"/>
      <c r="C6" s="40"/>
      <c r="D6" s="40"/>
      <c r="E6" s="40"/>
      <c r="F6" s="40"/>
      <c r="G6" s="40"/>
      <c r="H6" s="407" t="s">
        <v>55</v>
      </c>
      <c r="I6" s="408"/>
      <c r="J6" s="409"/>
      <c r="K6" s="405"/>
      <c r="L6" s="410"/>
      <c r="M6" s="410"/>
      <c r="N6" s="410"/>
      <c r="O6" s="410"/>
      <c r="P6" s="411"/>
      <c r="S6" s="82"/>
      <c r="T6" s="423"/>
      <c r="U6" s="423"/>
      <c r="V6" s="81"/>
    </row>
    <row r="7" spans="2:25" ht="15.75" thickBot="1">
      <c r="B7" s="40"/>
      <c r="C7" s="40"/>
      <c r="D7" s="40"/>
      <c r="E7" s="40"/>
      <c r="F7" s="40"/>
      <c r="G7" s="40"/>
      <c r="H7" s="40"/>
      <c r="I7" s="40"/>
      <c r="J7" s="40"/>
      <c r="K7" s="40"/>
      <c r="L7" s="40"/>
      <c r="M7" s="40"/>
      <c r="N7" s="40"/>
      <c r="O7" s="40"/>
      <c r="P7" s="40"/>
      <c r="S7" s="83"/>
      <c r="T7" s="84"/>
      <c r="U7" s="84"/>
      <c r="V7" s="85"/>
    </row>
    <row r="8" spans="2:25" ht="15.75" thickBot="1">
      <c r="B8" s="40"/>
      <c r="C8" s="40"/>
      <c r="D8" s="40"/>
      <c r="E8" s="40"/>
      <c r="F8" s="40"/>
      <c r="G8" s="40"/>
      <c r="H8" s="402" t="s">
        <v>15</v>
      </c>
      <c r="I8" s="403"/>
      <c r="J8" s="404"/>
      <c r="K8" s="405"/>
      <c r="L8" s="406"/>
      <c r="M8" s="416" t="s">
        <v>42</v>
      </c>
      <c r="N8" s="351"/>
      <c r="O8" s="351"/>
      <c r="P8" s="351"/>
    </row>
    <row r="9" spans="2:25" ht="23.25" customHeight="1" thickBot="1">
      <c r="B9" s="40"/>
      <c r="C9" s="40"/>
      <c r="D9" s="40"/>
      <c r="E9" s="40"/>
      <c r="F9" s="40"/>
      <c r="G9" s="40"/>
      <c r="H9" s="43"/>
      <c r="I9" s="40"/>
      <c r="J9" s="40"/>
      <c r="K9" s="40"/>
      <c r="L9" s="40"/>
      <c r="M9" s="40"/>
      <c r="N9" s="40"/>
      <c r="O9" s="40"/>
      <c r="P9" s="40"/>
      <c r="S9" s="425" t="s">
        <v>67</v>
      </c>
      <c r="T9" s="425"/>
      <c r="U9" s="425"/>
      <c r="V9" s="425"/>
    </row>
    <row r="10" spans="2:25" ht="15" customHeight="1">
      <c r="B10" s="412" t="s">
        <v>38</v>
      </c>
      <c r="C10" s="413"/>
      <c r="D10" s="413"/>
      <c r="E10" s="413"/>
      <c r="F10" s="413"/>
      <c r="G10" s="420" t="s">
        <v>50</v>
      </c>
      <c r="H10" s="421"/>
      <c r="I10" s="421"/>
      <c r="J10" s="421"/>
      <c r="K10" s="421"/>
      <c r="L10" s="422"/>
      <c r="M10" s="91"/>
      <c r="N10" s="91"/>
      <c r="O10" s="91"/>
      <c r="P10" s="91"/>
      <c r="S10" s="425"/>
      <c r="T10" s="425"/>
      <c r="U10" s="425"/>
      <c r="V10" s="425"/>
    </row>
    <row r="11" spans="2:25" ht="15" customHeight="1" thickBot="1">
      <c r="B11" s="414"/>
      <c r="C11" s="415"/>
      <c r="D11" s="415"/>
      <c r="E11" s="415"/>
      <c r="F11" s="415"/>
      <c r="G11" s="417" t="s">
        <v>37</v>
      </c>
      <c r="H11" s="418"/>
      <c r="I11" s="418"/>
      <c r="J11" s="418"/>
      <c r="K11" s="418"/>
      <c r="L11" s="419"/>
      <c r="M11" s="91"/>
      <c r="N11" s="91"/>
      <c r="O11" s="91"/>
      <c r="P11" s="91"/>
      <c r="S11" s="112"/>
      <c r="T11" s="377" t="s">
        <v>66</v>
      </c>
      <c r="U11" s="424"/>
      <c r="V11" s="112"/>
    </row>
    <row r="12" spans="2:25" ht="15" customHeight="1">
      <c r="B12" s="101"/>
      <c r="C12" s="101"/>
      <c r="D12" s="101"/>
      <c r="E12" s="101"/>
      <c r="F12" s="101"/>
      <c r="G12" s="96"/>
      <c r="H12" s="96"/>
      <c r="I12" s="96"/>
      <c r="J12" s="96"/>
      <c r="K12" s="96"/>
      <c r="L12" s="96"/>
      <c r="M12" s="91"/>
      <c r="N12" s="91"/>
      <c r="O12" s="91"/>
      <c r="P12" s="91"/>
      <c r="S12" s="106"/>
      <c r="T12" s="424"/>
      <c r="U12" s="424"/>
      <c r="V12" s="106"/>
      <c r="W12" s="99"/>
      <c r="X12" s="99"/>
      <c r="Y12" s="99"/>
    </row>
    <row r="13" spans="2:25" ht="15" customHeight="1">
      <c r="B13" s="97"/>
      <c r="C13" s="97"/>
      <c r="D13" s="97"/>
      <c r="E13" s="97"/>
      <c r="F13" s="97"/>
      <c r="G13" s="96"/>
      <c r="H13" s="96"/>
      <c r="I13" s="96"/>
      <c r="J13" s="96"/>
      <c r="K13" s="96"/>
      <c r="L13" s="96"/>
      <c r="M13" s="91"/>
      <c r="N13" s="91"/>
      <c r="O13" s="91"/>
      <c r="P13" s="91"/>
      <c r="S13" s="106"/>
      <c r="T13" s="377" t="s">
        <v>433</v>
      </c>
      <c r="U13" s="377"/>
      <c r="V13" s="106"/>
      <c r="W13" s="99"/>
      <c r="X13" s="99"/>
      <c r="Y13" s="99"/>
    </row>
    <row r="14" spans="2:25" ht="15" customHeight="1">
      <c r="B14" s="60" t="s">
        <v>53</v>
      </c>
      <c r="C14" s="40"/>
      <c r="D14" s="40"/>
      <c r="E14" s="40"/>
      <c r="F14" s="40"/>
      <c r="G14" s="40"/>
      <c r="H14" s="43"/>
      <c r="I14" s="40"/>
      <c r="J14" s="40"/>
      <c r="K14" s="40"/>
      <c r="L14" s="40"/>
      <c r="M14" s="40"/>
      <c r="N14" s="40"/>
      <c r="O14" s="40"/>
      <c r="P14" s="40"/>
      <c r="S14" s="106"/>
      <c r="T14" s="377"/>
      <c r="U14" s="377"/>
      <c r="V14" s="106"/>
    </row>
    <row r="15" spans="2:25" ht="15" customHeight="1">
      <c r="B15" s="373" t="s">
        <v>57</v>
      </c>
      <c r="C15" s="373"/>
      <c r="D15" s="373"/>
      <c r="E15" s="373"/>
      <c r="F15" s="373"/>
      <c r="G15" s="373"/>
      <c r="H15" s="40"/>
      <c r="I15" s="40"/>
      <c r="J15" s="40"/>
      <c r="K15" s="40"/>
      <c r="L15" s="40"/>
      <c r="M15" s="40"/>
      <c r="N15" s="40"/>
      <c r="O15" s="40"/>
      <c r="P15" s="40"/>
      <c r="Q15" s="39"/>
      <c r="R15" s="39"/>
      <c r="S15" s="106"/>
      <c r="T15" s="377"/>
      <c r="U15" s="377"/>
      <c r="V15" s="106"/>
    </row>
    <row r="16" spans="2:25" ht="15" customHeight="1">
      <c r="B16" s="40"/>
      <c r="C16" s="40"/>
      <c r="D16" s="40"/>
      <c r="E16" s="40"/>
      <c r="F16" s="40"/>
      <c r="G16" s="40"/>
      <c r="H16" s="40"/>
      <c r="I16" s="40"/>
      <c r="J16" s="40"/>
      <c r="K16" s="40"/>
      <c r="L16" s="40"/>
      <c r="M16" s="40"/>
      <c r="N16" s="40"/>
      <c r="O16" s="40"/>
      <c r="P16" s="40"/>
      <c r="Q16" s="39"/>
      <c r="R16" s="102"/>
      <c r="S16" s="106"/>
      <c r="T16" s="377" t="s">
        <v>432</v>
      </c>
      <c r="U16" s="377"/>
      <c r="V16" s="106"/>
      <c r="W16" s="5"/>
    </row>
    <row r="17" spans="2:22" ht="15.75" customHeight="1">
      <c r="B17" s="373" t="s">
        <v>56</v>
      </c>
      <c r="C17" s="373"/>
      <c r="D17" s="373"/>
      <c r="E17" s="373"/>
      <c r="F17" s="373"/>
      <c r="G17" s="373"/>
      <c r="H17" s="40"/>
      <c r="I17" s="40"/>
      <c r="J17" s="40"/>
      <c r="K17" s="40"/>
      <c r="L17" s="40"/>
      <c r="M17" s="40"/>
      <c r="N17" s="40"/>
      <c r="O17" s="40"/>
      <c r="P17" s="40"/>
      <c r="Q17" s="31"/>
      <c r="R17" s="31"/>
      <c r="S17" s="106"/>
      <c r="T17" s="377"/>
      <c r="U17" s="377"/>
      <c r="V17" s="106"/>
    </row>
    <row r="18" spans="2:22">
      <c r="B18" s="40"/>
      <c r="C18" s="40"/>
      <c r="D18" s="40"/>
      <c r="E18" s="353" t="s">
        <v>59</v>
      </c>
      <c r="F18" s="353"/>
      <c r="G18" s="353"/>
      <c r="H18" s="353"/>
      <c r="I18" s="353"/>
      <c r="J18" s="353"/>
      <c r="K18" s="353"/>
      <c r="L18" s="353"/>
      <c r="M18" s="353"/>
      <c r="N18" s="353"/>
      <c r="O18" s="353"/>
      <c r="P18" s="40"/>
      <c r="S18" s="106"/>
      <c r="T18" s="377"/>
      <c r="U18" s="377"/>
      <c r="V18" s="106"/>
    </row>
    <row r="19" spans="2:22" ht="15.75" customHeight="1">
      <c r="B19" s="40"/>
      <c r="C19" s="40"/>
      <c r="D19" s="40"/>
      <c r="E19" s="353" t="s">
        <v>107</v>
      </c>
      <c r="F19" s="353"/>
      <c r="G19" s="353"/>
      <c r="H19" s="353"/>
      <c r="I19" s="353"/>
      <c r="J19" s="353"/>
      <c r="K19" s="353"/>
      <c r="L19" s="353"/>
      <c r="M19" s="353"/>
      <c r="N19" s="353"/>
      <c r="O19" s="353"/>
      <c r="P19" s="40"/>
      <c r="S19" s="106"/>
      <c r="T19" s="377" t="s">
        <v>431</v>
      </c>
      <c r="U19" s="377"/>
      <c r="V19" s="105"/>
    </row>
    <row r="20" spans="2:22" ht="15.75" customHeight="1">
      <c r="B20" s="40"/>
      <c r="C20" s="40"/>
      <c r="D20" s="40"/>
      <c r="E20" s="353" t="s">
        <v>299</v>
      </c>
      <c r="F20" s="353"/>
      <c r="G20" s="353"/>
      <c r="H20" s="353"/>
      <c r="I20" s="353"/>
      <c r="J20" s="353"/>
      <c r="K20" s="353"/>
      <c r="L20" s="353"/>
      <c r="M20" s="353"/>
      <c r="N20" s="353"/>
      <c r="O20" s="353"/>
      <c r="P20" s="40"/>
      <c r="S20" s="106"/>
      <c r="T20" s="377"/>
      <c r="U20" s="377"/>
      <c r="V20" s="105"/>
    </row>
    <row r="21" spans="2:22" ht="15.75" customHeight="1">
      <c r="B21" s="40"/>
      <c r="C21" s="40"/>
      <c r="D21" s="353" t="s">
        <v>343</v>
      </c>
      <c r="E21" s="353"/>
      <c r="F21" s="353"/>
      <c r="G21" s="353"/>
      <c r="H21" s="353"/>
      <c r="I21" s="353"/>
      <c r="J21" s="353"/>
      <c r="K21" s="353"/>
      <c r="L21" s="353"/>
      <c r="M21" s="353"/>
      <c r="N21" s="353"/>
      <c r="O21" s="353"/>
      <c r="P21" s="40"/>
      <c r="S21" s="106"/>
      <c r="T21" s="377"/>
      <c r="U21" s="377"/>
      <c r="V21" s="105"/>
    </row>
    <row r="22" spans="2:22" ht="15.75">
      <c r="B22" s="40"/>
      <c r="C22" s="40"/>
      <c r="D22" s="40"/>
      <c r="E22" s="353" t="str">
        <f>IF(AND(Annexes!F5&gt;1,Annexes!F7&gt;1),"Veuillez-vous assurer qu'il n'y ait qu'une seule activité de sélectionnée entre l'annexe 1 et 2","")</f>
        <v/>
      </c>
      <c r="F22" s="353"/>
      <c r="G22" s="353"/>
      <c r="H22" s="353"/>
      <c r="I22" s="353"/>
      <c r="J22" s="353"/>
      <c r="K22" s="353"/>
      <c r="L22" s="353"/>
      <c r="M22" s="353"/>
      <c r="N22" s="353"/>
      <c r="O22" s="353"/>
      <c r="P22" s="40"/>
      <c r="S22" s="106"/>
      <c r="T22" s="377"/>
      <c r="U22" s="377"/>
      <c r="V22" s="105"/>
    </row>
    <row r="23" spans="2:22" ht="15.75">
      <c r="B23" s="40"/>
      <c r="C23" s="40"/>
      <c r="D23" s="40"/>
      <c r="E23" s="208"/>
      <c r="F23" s="208"/>
      <c r="G23" s="208"/>
      <c r="H23" s="208"/>
      <c r="I23" s="208"/>
      <c r="J23" s="208"/>
      <c r="K23" s="208"/>
      <c r="L23" s="208"/>
      <c r="M23" s="208"/>
      <c r="N23" s="208"/>
      <c r="O23" s="208"/>
      <c r="P23" s="40"/>
      <c r="S23" s="105"/>
      <c r="T23" s="377" t="s">
        <v>70</v>
      </c>
      <c r="U23" s="377"/>
      <c r="V23" s="105"/>
    </row>
    <row r="24" spans="2:22" ht="15.75" customHeight="1">
      <c r="B24" s="40"/>
      <c r="C24" s="40"/>
      <c r="D24" s="40"/>
      <c r="E24" s="378" t="s">
        <v>306</v>
      </c>
      <c r="F24" s="378"/>
      <c r="G24" s="378"/>
      <c r="H24" s="378"/>
      <c r="I24" s="378"/>
      <c r="J24" s="378"/>
      <c r="K24" s="378"/>
      <c r="L24" s="378"/>
      <c r="M24" s="378"/>
      <c r="N24" s="378"/>
      <c r="O24" s="378"/>
      <c r="P24" s="378"/>
      <c r="Q24" s="378"/>
      <c r="S24" s="105"/>
      <c r="T24" s="377"/>
      <c r="U24" s="377"/>
      <c r="V24" s="105"/>
    </row>
    <row r="25" spans="2:22" ht="15.75" customHeight="1">
      <c r="B25" s="40"/>
      <c r="C25" s="40"/>
      <c r="D25" s="40"/>
      <c r="E25" s="379" t="str">
        <f>IF(AND(OR(Annexes!F5&gt;1,Annexes!F7&gt;1),Annexes!M17=TRUE),"Veuillez-vous assurer qu'il n'y ait qu'une seule activité de sélectionnée entre l'annexe 1, 2 et 3","")</f>
        <v/>
      </c>
      <c r="F25" s="379"/>
      <c r="G25" s="379"/>
      <c r="H25" s="379"/>
      <c r="I25" s="379"/>
      <c r="J25" s="379"/>
      <c r="K25" s="379"/>
      <c r="L25" s="379"/>
      <c r="M25" s="379"/>
      <c r="N25" s="379"/>
      <c r="O25" s="379"/>
      <c r="P25" s="379"/>
      <c r="Q25" s="218"/>
      <c r="S25" s="105"/>
      <c r="T25" s="377"/>
      <c r="U25" s="377"/>
      <c r="V25" s="105"/>
    </row>
    <row r="26" spans="2:22" ht="31.5" customHeight="1">
      <c r="B26" s="40"/>
      <c r="C26" s="40"/>
      <c r="D26" s="40"/>
      <c r="E26" s="349" t="s">
        <v>384</v>
      </c>
      <c r="F26" s="349"/>
      <c r="G26" s="349"/>
      <c r="H26" s="349"/>
      <c r="I26" s="349"/>
      <c r="J26" s="349"/>
      <c r="K26" s="349"/>
      <c r="L26" s="349"/>
      <c r="M26" s="349"/>
      <c r="N26" s="349"/>
      <c r="O26" s="349"/>
      <c r="P26" s="349"/>
      <c r="Q26" s="349"/>
      <c r="S26" s="105"/>
      <c r="T26" s="377"/>
      <c r="U26" s="377"/>
      <c r="V26" s="105"/>
    </row>
    <row r="27" spans="2:22" ht="15.75" customHeight="1">
      <c r="B27" s="40"/>
      <c r="C27" s="40"/>
      <c r="D27" s="40"/>
      <c r="E27" s="428" t="str">
        <f>IF(AND(OR(Annexes!F5&gt;1,Annexes!F7&gt;1),Annexes!M23=TRUE),"Veuillez-vous assurer qu'il n'y ait qu'une seule activité de sélectionnée entre l'annexe 1, 2 et exercant dans un centre commercial","")</f>
        <v/>
      </c>
      <c r="F27" s="428"/>
      <c r="G27" s="428"/>
      <c r="H27" s="428"/>
      <c r="I27" s="428"/>
      <c r="J27" s="428"/>
      <c r="K27" s="428"/>
      <c r="L27" s="428"/>
      <c r="M27" s="428"/>
      <c r="N27" s="428"/>
      <c r="O27" s="428"/>
      <c r="P27" s="428"/>
      <c r="S27" s="5"/>
      <c r="T27" s="92"/>
      <c r="U27" s="92"/>
      <c r="V27" s="92"/>
    </row>
    <row r="28" spans="2:22" ht="15.75" customHeight="1">
      <c r="B28" s="40"/>
      <c r="C28" s="40"/>
      <c r="D28" s="40"/>
      <c r="E28" s="349" t="s">
        <v>451</v>
      </c>
      <c r="F28" s="349"/>
      <c r="G28" s="349"/>
      <c r="H28" s="349"/>
      <c r="I28" s="349"/>
      <c r="J28" s="349"/>
      <c r="K28" s="349"/>
      <c r="L28" s="349"/>
      <c r="M28" s="349"/>
      <c r="N28" s="349"/>
      <c r="O28" s="349"/>
      <c r="P28" s="349"/>
      <c r="Q28" s="349"/>
      <c r="S28" s="5"/>
      <c r="T28" s="92"/>
      <c r="U28" s="92"/>
      <c r="V28" s="92"/>
    </row>
    <row r="29" spans="2:22" ht="15.75" customHeight="1">
      <c r="B29" s="40"/>
      <c r="C29" s="40"/>
      <c r="D29" s="40"/>
      <c r="E29" s="349"/>
      <c r="F29" s="349"/>
      <c r="G29" s="349"/>
      <c r="H29" s="349"/>
      <c r="I29" s="349"/>
      <c r="J29" s="349"/>
      <c r="K29" s="349"/>
      <c r="L29" s="349"/>
      <c r="M29" s="349"/>
      <c r="N29" s="349"/>
      <c r="O29" s="349"/>
      <c r="P29" s="349"/>
      <c r="Q29" s="349"/>
      <c r="S29" s="5"/>
      <c r="T29" s="92"/>
      <c r="U29" s="92"/>
      <c r="V29" s="92"/>
    </row>
    <row r="30" spans="2:22" ht="15.75">
      <c r="B30" s="40"/>
      <c r="C30" s="40"/>
      <c r="D30" s="40"/>
      <c r="E30" s="40"/>
      <c r="F30" s="40"/>
      <c r="G30" s="40"/>
      <c r="H30" s="40"/>
      <c r="I30" s="40"/>
      <c r="J30" s="40"/>
      <c r="K30" s="40"/>
      <c r="L30" s="40"/>
      <c r="M30" s="40"/>
      <c r="N30" s="40"/>
      <c r="O30" s="40"/>
      <c r="P30" s="40"/>
      <c r="S30" s="93"/>
      <c r="T30" s="93"/>
      <c r="U30" s="94"/>
      <c r="V30" s="95"/>
    </row>
    <row r="31" spans="2:22">
      <c r="B31" s="40"/>
      <c r="C31" s="40"/>
      <c r="D31" s="40"/>
      <c r="E31" s="354" t="s">
        <v>58</v>
      </c>
      <c r="F31" s="354"/>
      <c r="G31" s="354"/>
      <c r="H31" s="354"/>
      <c r="I31" s="354"/>
      <c r="J31" s="354"/>
      <c r="K31" s="354"/>
      <c r="L31" s="40"/>
      <c r="M31" s="40"/>
      <c r="N31" s="40"/>
      <c r="O31" s="40"/>
      <c r="P31" s="40"/>
      <c r="U31" s="1"/>
    </row>
    <row r="32" spans="2:22">
      <c r="B32" s="40"/>
      <c r="C32" s="40"/>
      <c r="D32" s="40"/>
      <c r="E32" s="380" t="s">
        <v>86</v>
      </c>
      <c r="F32" s="380"/>
      <c r="G32" s="380"/>
      <c r="H32" s="380"/>
      <c r="I32" s="380"/>
      <c r="J32" s="380"/>
      <c r="K32" s="380"/>
      <c r="L32" s="380"/>
      <c r="M32" s="380"/>
      <c r="N32" s="380"/>
      <c r="O32" s="380"/>
      <c r="P32" s="380"/>
      <c r="U32" s="1"/>
    </row>
    <row r="33" spans="1:29">
      <c r="B33" s="40"/>
      <c r="C33" s="40"/>
      <c r="D33" s="40"/>
      <c r="E33" s="380"/>
      <c r="F33" s="380"/>
      <c r="G33" s="380"/>
      <c r="H33" s="380"/>
      <c r="I33" s="380"/>
      <c r="J33" s="380"/>
      <c r="K33" s="380"/>
      <c r="L33" s="380"/>
      <c r="M33" s="380"/>
      <c r="N33" s="380"/>
      <c r="O33" s="380"/>
      <c r="P33" s="380"/>
      <c r="U33" s="1"/>
    </row>
    <row r="34" spans="1:29">
      <c r="B34" s="40"/>
      <c r="C34" s="64"/>
      <c r="D34" s="40"/>
      <c r="E34" s="354" t="s">
        <v>64</v>
      </c>
      <c r="F34" s="354"/>
      <c r="G34" s="354"/>
      <c r="H34" s="354"/>
      <c r="I34" s="354"/>
      <c r="J34" s="354"/>
      <c r="K34" s="64"/>
      <c r="L34" s="64"/>
      <c r="M34" s="64"/>
      <c r="N34" s="64"/>
      <c r="O34" s="64"/>
      <c r="P34" s="64"/>
      <c r="Q34" s="78"/>
      <c r="U34" s="1"/>
    </row>
    <row r="35" spans="1:29" ht="7.5" customHeight="1">
      <c r="A35" s="147"/>
      <c r="B35" s="65"/>
      <c r="C35" s="157"/>
      <c r="D35" s="44"/>
      <c r="E35" s="45"/>
      <c r="F35" s="45"/>
      <c r="G35" s="45"/>
      <c r="H35" s="45"/>
      <c r="I35" s="45"/>
      <c r="J35" s="86"/>
      <c r="K35" s="69"/>
      <c r="L35" s="69"/>
      <c r="M35" s="69"/>
      <c r="N35" s="69"/>
      <c r="O35" s="69"/>
      <c r="P35" s="69"/>
      <c r="Q35" s="70"/>
      <c r="U35" s="1"/>
    </row>
    <row r="36" spans="1:29">
      <c r="B36" s="65"/>
      <c r="C36" s="44"/>
      <c r="D36" s="44"/>
      <c r="E36" s="45"/>
      <c r="F36" s="45"/>
      <c r="G36" s="45"/>
      <c r="H36" s="45"/>
      <c r="I36" s="45"/>
      <c r="J36" s="45"/>
      <c r="K36" s="40"/>
      <c r="L36" s="40"/>
      <c r="M36" s="87" t="s">
        <v>10</v>
      </c>
      <c r="N36" s="47"/>
      <c r="O36" s="48"/>
      <c r="P36" s="87" t="s">
        <v>11</v>
      </c>
      <c r="Q36" s="68"/>
      <c r="U36" s="1"/>
    </row>
    <row r="37" spans="1:29" ht="6.75" customHeight="1">
      <c r="B37" s="65"/>
      <c r="C37" s="44"/>
      <c r="D37" s="44"/>
      <c r="E37" s="40"/>
      <c r="F37" s="40"/>
      <c r="G37" s="40"/>
      <c r="H37" s="40"/>
      <c r="I37" s="40"/>
      <c r="J37" s="40"/>
      <c r="K37" s="40"/>
      <c r="L37" s="40"/>
      <c r="M37" s="40"/>
      <c r="N37" s="40"/>
      <c r="O37" s="44"/>
      <c r="P37" s="40"/>
      <c r="Q37" s="68"/>
      <c r="R37" s="1"/>
      <c r="U37" s="1"/>
    </row>
    <row r="38" spans="1:29">
      <c r="B38" s="65"/>
      <c r="C38" s="44"/>
      <c r="D38" s="44"/>
      <c r="E38" s="76" t="s">
        <v>51</v>
      </c>
      <c r="F38" s="40"/>
      <c r="G38" s="40"/>
      <c r="H38" s="40"/>
      <c r="I38" s="40"/>
      <c r="J38" s="40"/>
      <c r="K38" s="40"/>
      <c r="L38" s="40"/>
      <c r="M38" s="40"/>
      <c r="N38" s="40"/>
      <c r="O38" s="44"/>
      <c r="P38" s="40"/>
      <c r="Q38" s="68"/>
      <c r="R38" s="1"/>
      <c r="U38" s="1"/>
      <c r="AC38" s="17">
        <v>333</v>
      </c>
    </row>
    <row r="39" spans="1:29">
      <c r="B39" s="65"/>
      <c r="C39" s="44"/>
      <c r="D39" s="44"/>
      <c r="E39" s="40"/>
      <c r="F39" s="40"/>
      <c r="G39" s="40"/>
      <c r="H39" s="40"/>
      <c r="I39" s="40"/>
      <c r="J39" s="40"/>
      <c r="K39" s="49"/>
      <c r="L39" s="40"/>
      <c r="M39" s="40"/>
      <c r="N39" s="44"/>
      <c r="O39" s="44"/>
      <c r="P39" s="40"/>
      <c r="Q39" s="68"/>
      <c r="U39" s="1"/>
    </row>
    <row r="40" spans="1:29" hidden="1">
      <c r="B40" s="65"/>
      <c r="C40" s="44"/>
      <c r="D40" s="44"/>
      <c r="E40" s="40"/>
      <c r="F40" s="40"/>
      <c r="G40" s="40"/>
      <c r="H40" s="40"/>
      <c r="I40" s="40"/>
      <c r="J40" s="49"/>
      <c r="K40" s="40"/>
      <c r="L40" s="40"/>
      <c r="M40" s="40"/>
      <c r="N40" s="40"/>
      <c r="O40" s="46"/>
      <c r="P40" s="40"/>
      <c r="Q40" s="68"/>
      <c r="U40" s="1"/>
    </row>
    <row r="41" spans="1:29" hidden="1">
      <c r="B41" s="65"/>
      <c r="C41" s="44"/>
      <c r="D41" s="44"/>
      <c r="E41" s="49" t="s">
        <v>60</v>
      </c>
      <c r="F41" s="45"/>
      <c r="G41" s="45"/>
      <c r="H41" s="45"/>
      <c r="I41" s="45"/>
      <c r="J41" s="49"/>
      <c r="K41" s="40"/>
      <c r="L41" s="40"/>
      <c r="M41" s="40"/>
      <c r="N41" s="44"/>
      <c r="O41" s="46"/>
      <c r="P41" s="40"/>
      <c r="Q41" s="68"/>
      <c r="U41" s="1"/>
    </row>
    <row r="42" spans="1:29" hidden="1">
      <c r="B42" s="65"/>
      <c r="C42" s="44"/>
      <c r="D42" s="44"/>
      <c r="E42" s="40"/>
      <c r="F42" s="40"/>
      <c r="G42" s="40"/>
      <c r="H42" s="40"/>
      <c r="I42" s="40"/>
      <c r="J42" s="49"/>
      <c r="K42" s="40"/>
      <c r="L42" s="40"/>
      <c r="M42" s="40"/>
      <c r="N42" s="40"/>
      <c r="O42" s="46"/>
      <c r="P42" s="40"/>
      <c r="Q42" s="68"/>
      <c r="U42" s="1"/>
    </row>
    <row r="43" spans="1:29" hidden="1">
      <c r="B43" s="65"/>
      <c r="C43" s="44"/>
      <c r="D43" s="44"/>
      <c r="E43" s="40" t="s">
        <v>61</v>
      </c>
      <c r="F43" s="40"/>
      <c r="G43" s="40"/>
      <c r="H43" s="40"/>
      <c r="I43" s="40"/>
      <c r="J43" s="40"/>
      <c r="K43" s="40"/>
      <c r="L43" s="40"/>
      <c r="M43" s="40"/>
      <c r="N43" s="44"/>
      <c r="O43" s="46"/>
      <c r="P43" s="40"/>
      <c r="Q43" s="68"/>
      <c r="U43" s="1"/>
    </row>
    <row r="44" spans="1:29" ht="6.75" customHeight="1">
      <c r="B44" s="65"/>
      <c r="C44" s="66"/>
      <c r="D44" s="64"/>
      <c r="E44" s="64"/>
      <c r="F44" s="64"/>
      <c r="G44" s="64"/>
      <c r="H44" s="64"/>
      <c r="I44" s="64"/>
      <c r="J44" s="64"/>
      <c r="K44" s="67"/>
      <c r="L44" s="64"/>
      <c r="M44" s="64"/>
      <c r="N44" s="64"/>
      <c r="O44" s="64"/>
      <c r="P44" s="64"/>
      <c r="Q44" s="75"/>
      <c r="U44" s="1"/>
    </row>
    <row r="45" spans="1:29">
      <c r="A45" s="300" t="s">
        <v>45</v>
      </c>
      <c r="B45" s="40"/>
      <c r="C45" s="40"/>
      <c r="D45" s="40"/>
      <c r="E45" s="383" t="str">
        <f>IF(Annexes!M9=FALSE,"","le CA réalisé sur les activités de vente à distance avec retrait en magasin ou livraison ne sont pas à prendre en compte")</f>
        <v/>
      </c>
      <c r="F45" s="383"/>
      <c r="G45" s="383"/>
      <c r="H45" s="383"/>
      <c r="I45" s="383"/>
      <c r="J45" s="383"/>
      <c r="K45" s="383"/>
      <c r="L45" s="383"/>
      <c r="M45" s="383"/>
      <c r="N45" s="383"/>
      <c r="O45" s="383"/>
      <c r="P45" s="383"/>
      <c r="U45" s="1"/>
    </row>
    <row r="46" spans="1:29">
      <c r="A46" s="300" t="s">
        <v>46</v>
      </c>
      <c r="B46" s="40"/>
      <c r="C46" s="40"/>
      <c r="D46" s="40"/>
      <c r="E46" s="40"/>
      <c r="F46" s="40"/>
      <c r="G46" s="40"/>
      <c r="H46" s="40"/>
      <c r="I46" s="40"/>
      <c r="J46" s="40"/>
      <c r="K46" s="49"/>
      <c r="L46" s="40"/>
      <c r="M46" s="40"/>
      <c r="N46" s="40"/>
      <c r="O46" s="40"/>
      <c r="P46" s="40"/>
      <c r="U46" s="1"/>
    </row>
    <row r="47" spans="1:29">
      <c r="A47" s="300" t="s">
        <v>47</v>
      </c>
      <c r="B47" s="40"/>
      <c r="C47" s="40"/>
      <c r="D47" s="40"/>
      <c r="E47" s="354" t="s">
        <v>303</v>
      </c>
      <c r="F47" s="354"/>
      <c r="G47" s="354"/>
      <c r="H47" s="354"/>
      <c r="I47" s="354"/>
      <c r="J47" s="354"/>
      <c r="K47" s="40"/>
      <c r="L47" s="40"/>
      <c r="M47" s="40"/>
      <c r="N47" s="40"/>
      <c r="O47" s="40"/>
      <c r="P47" s="40"/>
      <c r="U47" s="1"/>
    </row>
    <row r="48" spans="1:29">
      <c r="A48" s="300" t="s">
        <v>48</v>
      </c>
      <c r="B48" s="40"/>
      <c r="C48" s="40"/>
      <c r="D48" s="40"/>
      <c r="E48" s="375" t="str">
        <f>IF(Annexes!M11=FALSE,"","le CA réalisé sur les activités de vente à distance avec retrait en magasin ou livraison ne sont pas à prendre en compte")</f>
        <v/>
      </c>
      <c r="F48" s="375"/>
      <c r="G48" s="375"/>
      <c r="H48" s="375"/>
      <c r="I48" s="375"/>
      <c r="J48" s="375"/>
      <c r="K48" s="375"/>
      <c r="L48" s="375"/>
      <c r="M48" s="375"/>
      <c r="N48" s="375"/>
      <c r="O48" s="375"/>
      <c r="P48" s="375"/>
      <c r="U48" s="1"/>
    </row>
    <row r="49" spans="1:21">
      <c r="A49" s="300" t="s">
        <v>49</v>
      </c>
      <c r="B49" s="40"/>
      <c r="C49" s="40"/>
      <c r="D49" s="40"/>
      <c r="E49" s="355" t="s">
        <v>302</v>
      </c>
      <c r="F49" s="355"/>
      <c r="G49" s="355"/>
      <c r="H49" s="355"/>
      <c r="I49" s="355"/>
      <c r="J49" s="355"/>
      <c r="K49" s="40"/>
      <c r="L49" s="40"/>
      <c r="M49" s="40"/>
      <c r="N49" s="40"/>
      <c r="O49" s="40"/>
      <c r="P49" s="40"/>
      <c r="U49" s="1"/>
    </row>
    <row r="50" spans="1:21" ht="22.5" customHeight="1">
      <c r="B50" s="40"/>
      <c r="C50" s="40"/>
      <c r="D50" s="40"/>
      <c r="E50" s="376" t="str">
        <f>IF(Annexes!M15=FALSE,"","le CA réalisé sur les activités de vente à distance avec retrait en magasin ou livraison ne sont pas à prendre en compte pour les fermetures administratives suite au décret n° 2021-32 du 16 Janvier 2021")</f>
        <v/>
      </c>
      <c r="F50" s="376"/>
      <c r="G50" s="376"/>
      <c r="H50" s="376"/>
      <c r="I50" s="376"/>
      <c r="J50" s="376"/>
      <c r="K50" s="376"/>
      <c r="L50" s="376"/>
      <c r="M50" s="376"/>
      <c r="N50" s="376"/>
      <c r="O50" s="376"/>
      <c r="P50" s="376"/>
      <c r="R50" s="2"/>
      <c r="U50" s="1"/>
    </row>
    <row r="51" spans="1:21" ht="15" customHeight="1">
      <c r="B51" s="40"/>
      <c r="C51" s="40"/>
      <c r="D51" s="40"/>
      <c r="E51" s="245"/>
      <c r="F51" s="245"/>
      <c r="G51" s="245"/>
      <c r="H51" s="245"/>
      <c r="I51" s="245"/>
      <c r="J51" s="245"/>
      <c r="K51" s="245"/>
      <c r="L51" s="245"/>
      <c r="M51" s="245"/>
      <c r="N51" s="245"/>
      <c r="O51" s="245"/>
      <c r="P51" s="245"/>
      <c r="R51" s="2"/>
      <c r="U51" s="1"/>
    </row>
    <row r="52" spans="1:21">
      <c r="A52" s="147"/>
      <c r="B52" s="40"/>
      <c r="C52" s="40"/>
      <c r="D52" s="40"/>
      <c r="E52" s="354" t="s">
        <v>300</v>
      </c>
      <c r="F52" s="354"/>
      <c r="G52" s="354"/>
      <c r="H52" s="354"/>
      <c r="I52" s="354"/>
      <c r="J52" s="354"/>
      <c r="K52" s="40"/>
      <c r="L52" s="40"/>
      <c r="M52" s="40"/>
      <c r="N52" s="40"/>
      <c r="O52" s="40"/>
      <c r="P52" s="40"/>
      <c r="U52" s="1"/>
    </row>
    <row r="53" spans="1:21">
      <c r="A53" s="147"/>
      <c r="B53" s="40"/>
      <c r="C53" s="40"/>
      <c r="D53" s="40"/>
      <c r="E53" s="257"/>
      <c r="F53" s="257"/>
      <c r="G53" s="257"/>
      <c r="H53" s="257"/>
      <c r="I53" s="257"/>
      <c r="J53" s="257"/>
      <c r="K53" s="40"/>
      <c r="L53" s="40"/>
      <c r="M53" s="40"/>
      <c r="N53" s="40"/>
      <c r="O53" s="40"/>
      <c r="P53" s="40"/>
      <c r="U53" s="1"/>
    </row>
    <row r="54" spans="1:21">
      <c r="B54" s="40"/>
      <c r="C54" s="40"/>
      <c r="D54" s="40"/>
      <c r="E54" s="349" t="s">
        <v>388</v>
      </c>
      <c r="F54" s="349"/>
      <c r="G54" s="349"/>
      <c r="H54" s="349"/>
      <c r="I54" s="349"/>
      <c r="J54" s="349"/>
      <c r="K54" s="349"/>
      <c r="L54" s="349"/>
      <c r="M54" s="349"/>
      <c r="N54" s="349"/>
      <c r="O54" s="349"/>
      <c r="P54" s="349"/>
      <c r="U54" s="1"/>
    </row>
    <row r="55" spans="1:21">
      <c r="B55" s="40"/>
      <c r="C55" s="40"/>
      <c r="D55" s="40"/>
      <c r="E55" s="349"/>
      <c r="F55" s="349"/>
      <c r="G55" s="349"/>
      <c r="H55" s="349"/>
      <c r="I55" s="349"/>
      <c r="J55" s="349"/>
      <c r="K55" s="349"/>
      <c r="L55" s="349"/>
      <c r="M55" s="349"/>
      <c r="N55" s="349"/>
      <c r="O55" s="349"/>
      <c r="P55" s="349"/>
      <c r="U55" s="1"/>
    </row>
    <row r="56" spans="1:21">
      <c r="B56" s="40"/>
      <c r="C56" s="40"/>
      <c r="D56" s="40"/>
      <c r="E56" s="349" t="s">
        <v>387</v>
      </c>
      <c r="F56" s="349"/>
      <c r="G56" s="349"/>
      <c r="H56" s="349"/>
      <c r="I56" s="349"/>
      <c r="J56" s="349"/>
      <c r="K56" s="349"/>
      <c r="L56" s="349"/>
      <c r="M56" s="349"/>
      <c r="N56" s="349"/>
      <c r="O56" s="349"/>
      <c r="P56" s="349"/>
      <c r="U56" s="1"/>
    </row>
    <row r="57" spans="1:21">
      <c r="B57" s="40"/>
      <c r="C57" s="40"/>
      <c r="D57" s="40"/>
      <c r="E57" s="349"/>
      <c r="F57" s="349"/>
      <c r="G57" s="349"/>
      <c r="H57" s="349"/>
      <c r="I57" s="349"/>
      <c r="J57" s="349"/>
      <c r="K57" s="349"/>
      <c r="L57" s="349"/>
      <c r="M57" s="349"/>
      <c r="N57" s="349"/>
      <c r="O57" s="349"/>
      <c r="P57" s="349"/>
      <c r="U57" s="1"/>
    </row>
    <row r="58" spans="1:21">
      <c r="B58" s="40"/>
      <c r="C58" s="40"/>
      <c r="D58" s="40"/>
      <c r="E58" s="349" t="s">
        <v>389</v>
      </c>
      <c r="F58" s="349"/>
      <c r="G58" s="349"/>
      <c r="H58" s="349"/>
      <c r="I58" s="349"/>
      <c r="J58" s="349"/>
      <c r="K58" s="349"/>
      <c r="L58" s="349"/>
      <c r="M58" s="349"/>
      <c r="N58" s="349"/>
      <c r="O58" s="349"/>
      <c r="P58" s="349"/>
      <c r="U58" s="1"/>
    </row>
    <row r="59" spans="1:21">
      <c r="B59" s="40"/>
      <c r="C59" s="40"/>
      <c r="D59" s="40"/>
      <c r="E59" s="349"/>
      <c r="F59" s="349"/>
      <c r="G59" s="349"/>
      <c r="H59" s="349"/>
      <c r="I59" s="349"/>
      <c r="J59" s="349"/>
      <c r="K59" s="349"/>
      <c r="L59" s="349"/>
      <c r="M59" s="349"/>
      <c r="N59" s="349"/>
      <c r="O59" s="349"/>
      <c r="P59" s="349"/>
      <c r="U59" s="1"/>
    </row>
    <row r="60" spans="1:21">
      <c r="B60" s="40"/>
      <c r="C60" s="40"/>
      <c r="D60" s="40"/>
      <c r="E60" s="349" t="s">
        <v>438</v>
      </c>
      <c r="F60" s="349"/>
      <c r="G60" s="349"/>
      <c r="H60" s="349"/>
      <c r="I60" s="349"/>
      <c r="J60" s="349"/>
      <c r="K60" s="349"/>
      <c r="L60" s="349"/>
      <c r="M60" s="349"/>
      <c r="N60" s="349"/>
      <c r="O60" s="349"/>
      <c r="P60" s="349"/>
      <c r="U60" s="1"/>
    </row>
    <row r="61" spans="1:21">
      <c r="B61" s="40"/>
      <c r="C61" s="40"/>
      <c r="D61" s="40"/>
      <c r="E61" s="349"/>
      <c r="F61" s="349"/>
      <c r="G61" s="349"/>
      <c r="H61" s="349"/>
      <c r="I61" s="349"/>
      <c r="J61" s="349"/>
      <c r="K61" s="349"/>
      <c r="L61" s="349"/>
      <c r="M61" s="349"/>
      <c r="N61" s="349"/>
      <c r="O61" s="349"/>
      <c r="P61" s="349"/>
      <c r="U61" s="1"/>
    </row>
    <row r="62" spans="1:21">
      <c r="B62" s="40"/>
      <c r="C62" s="40"/>
      <c r="D62" s="40"/>
      <c r="E62" s="349" t="s">
        <v>439</v>
      </c>
      <c r="F62" s="349"/>
      <c r="G62" s="349"/>
      <c r="H62" s="349"/>
      <c r="I62" s="349"/>
      <c r="J62" s="349"/>
      <c r="K62" s="349"/>
      <c r="L62" s="349"/>
      <c r="M62" s="349"/>
      <c r="N62" s="349"/>
      <c r="O62" s="349"/>
      <c r="P62" s="349"/>
      <c r="U62" s="1"/>
    </row>
    <row r="63" spans="1:21">
      <c r="B63" s="40"/>
      <c r="C63" s="40"/>
      <c r="D63" s="40"/>
      <c r="E63" s="349"/>
      <c r="F63" s="349"/>
      <c r="G63" s="349"/>
      <c r="H63" s="349"/>
      <c r="I63" s="349"/>
      <c r="J63" s="349"/>
      <c r="K63" s="349"/>
      <c r="L63" s="349"/>
      <c r="M63" s="349"/>
      <c r="N63" s="349"/>
      <c r="O63" s="349"/>
      <c r="P63" s="349"/>
      <c r="U63" s="1"/>
    </row>
    <row r="64" spans="1:21">
      <c r="B64" s="40"/>
      <c r="C64" s="40"/>
      <c r="D64" s="40"/>
      <c r="E64" s="291"/>
      <c r="F64" s="244"/>
      <c r="G64" s="244"/>
      <c r="H64" s="244"/>
      <c r="I64" s="244"/>
      <c r="J64" s="244"/>
      <c r="K64" s="40"/>
      <c r="L64" s="40"/>
      <c r="M64" s="40"/>
      <c r="N64" s="40"/>
      <c r="O64" s="40"/>
      <c r="P64" s="40"/>
      <c r="U64" s="1"/>
    </row>
    <row r="65" spans="2:23">
      <c r="B65" s="40"/>
      <c r="C65" s="64"/>
      <c r="D65" s="64"/>
      <c r="E65" s="354" t="s">
        <v>43</v>
      </c>
      <c r="F65" s="354"/>
      <c r="G65" s="156"/>
      <c r="H65" s="156"/>
      <c r="I65" s="156"/>
      <c r="J65" s="156"/>
      <c r="K65" s="64"/>
      <c r="L65" s="64"/>
      <c r="M65" s="64"/>
      <c r="N65" s="64"/>
      <c r="O65" s="64"/>
      <c r="P65" s="64"/>
      <c r="Q65" s="78"/>
      <c r="S65" s="78"/>
      <c r="T65" s="149" t="s">
        <v>90</v>
      </c>
      <c r="U65" s="78"/>
      <c r="V65" s="78"/>
      <c r="W65" s="78"/>
    </row>
    <row r="66" spans="2:23">
      <c r="B66" s="65"/>
      <c r="C66" s="44"/>
      <c r="D66" s="44"/>
      <c r="E66" s="45"/>
      <c r="F66" s="40"/>
      <c r="G66" s="44"/>
      <c r="H66" s="44"/>
      <c r="I66" s="44"/>
      <c r="J66" s="86"/>
      <c r="K66" s="44"/>
      <c r="L66" s="44"/>
      <c r="M66" s="44"/>
      <c r="N66" s="44"/>
      <c r="O66" s="44"/>
      <c r="P66" s="44"/>
      <c r="Q66" s="70"/>
      <c r="R66" s="150"/>
      <c r="S66" s="346"/>
      <c r="T66" s="347"/>
      <c r="U66" s="347"/>
      <c r="V66" s="347"/>
      <c r="W66" s="348"/>
    </row>
    <row r="67" spans="2:23">
      <c r="B67" s="65"/>
      <c r="C67" s="44"/>
      <c r="D67" s="44"/>
      <c r="E67" s="56" t="s">
        <v>52</v>
      </c>
      <c r="F67" s="45"/>
      <c r="G67" s="45"/>
      <c r="H67" s="45"/>
      <c r="I67" s="45"/>
      <c r="J67" s="45"/>
      <c r="K67" s="40"/>
      <c r="L67" s="40"/>
      <c r="M67" s="40"/>
      <c r="N67" s="40"/>
      <c r="O67" s="40"/>
      <c r="P67" s="40"/>
      <c r="Q67" s="68"/>
      <c r="R67" s="150"/>
      <c r="S67" s="346"/>
      <c r="T67" s="347"/>
      <c r="U67" s="347"/>
      <c r="V67" s="347"/>
      <c r="W67" s="348"/>
    </row>
    <row r="68" spans="2:23">
      <c r="B68" s="65"/>
      <c r="C68" s="44"/>
      <c r="D68" s="44"/>
      <c r="E68" s="199"/>
      <c r="F68" s="200"/>
      <c r="G68" s="200"/>
      <c r="H68" s="200"/>
      <c r="I68" s="200"/>
      <c r="J68" s="200"/>
      <c r="K68" s="40"/>
      <c r="L68" s="40"/>
      <c r="M68" s="40"/>
      <c r="N68" s="40"/>
      <c r="O68" s="40"/>
      <c r="P68" s="40"/>
      <c r="Q68" s="68"/>
      <c r="R68" s="150"/>
      <c r="S68" s="346"/>
      <c r="T68" s="347"/>
      <c r="U68" s="347"/>
      <c r="V68" s="347"/>
      <c r="W68" s="348"/>
    </row>
    <row r="69" spans="2:23">
      <c r="B69" s="65"/>
      <c r="C69" s="44"/>
      <c r="D69" s="44"/>
      <c r="E69" s="199"/>
      <c r="F69" s="200"/>
      <c r="G69" s="200"/>
      <c r="H69" s="200"/>
      <c r="I69" s="201" t="s">
        <v>87</v>
      </c>
      <c r="J69" s="200"/>
      <c r="K69" s="40"/>
      <c r="L69" s="356" t="s">
        <v>88</v>
      </c>
      <c r="M69" s="356"/>
      <c r="N69" s="356"/>
      <c r="O69" s="356"/>
      <c r="P69" s="40"/>
      <c r="Q69" s="68"/>
      <c r="R69" s="150"/>
      <c r="S69" s="346"/>
      <c r="T69" s="347"/>
      <c r="U69" s="347"/>
      <c r="V69" s="347"/>
      <c r="W69" s="348"/>
    </row>
    <row r="70" spans="2:23" ht="15.75" thickBot="1">
      <c r="B70" s="65"/>
      <c r="C70" s="44"/>
      <c r="D70" s="44"/>
      <c r="E70" s="199"/>
      <c r="F70" s="200"/>
      <c r="G70" s="200"/>
      <c r="H70" s="200"/>
      <c r="I70" s="200"/>
      <c r="J70" s="200"/>
      <c r="K70" s="40"/>
      <c r="L70" s="40"/>
      <c r="M70" s="40"/>
      <c r="N70" s="40"/>
      <c r="O70" s="281"/>
      <c r="P70" s="281"/>
      <c r="Q70" s="68"/>
      <c r="R70" s="150"/>
      <c r="S70" s="346"/>
      <c r="T70" s="347"/>
      <c r="U70" s="347"/>
      <c r="V70" s="347"/>
      <c r="W70" s="348"/>
    </row>
    <row r="71" spans="2:23" ht="15.75" customHeight="1" thickBot="1">
      <c r="B71" s="65"/>
      <c r="C71" s="44"/>
      <c r="D71" s="44"/>
      <c r="E71" s="352" t="s">
        <v>110</v>
      </c>
      <c r="F71" s="352"/>
      <c r="G71" s="352"/>
      <c r="H71" s="45"/>
      <c r="I71" s="114">
        <v>0</v>
      </c>
      <c r="J71" s="203" t="str">
        <f>IF('Mon Entreprise'!K8&lt;Annexes!O17,"*","")</f>
        <v>*</v>
      </c>
      <c r="K71" s="44"/>
      <c r="L71" s="40"/>
      <c r="M71" s="114">
        <v>0</v>
      </c>
      <c r="N71" s="40"/>
      <c r="O71" s="281"/>
      <c r="P71" s="281"/>
      <c r="Q71" s="68"/>
      <c r="R71" s="150"/>
      <c r="S71" s="346"/>
      <c r="T71" s="347"/>
      <c r="U71" s="347"/>
      <c r="V71" s="347"/>
      <c r="W71" s="348"/>
    </row>
    <row r="72" spans="2:23">
      <c r="B72" s="65"/>
      <c r="C72" s="44"/>
      <c r="D72" s="44"/>
      <c r="E72" s="98" t="str">
        <f>IF(K8&lt;Annexes!O14,"","En cas de création d'activité après le 01 Janvier 2019, veuillez également vous reporter en bas du tableau...")</f>
        <v/>
      </c>
      <c r="F72" s="45"/>
      <c r="G72" s="45"/>
      <c r="H72" s="45"/>
      <c r="I72" s="45"/>
      <c r="J72" s="204"/>
      <c r="K72" s="44"/>
      <c r="L72" s="40"/>
      <c r="M72" s="99"/>
      <c r="N72" s="40"/>
      <c r="O72" s="281"/>
      <c r="P72" s="281"/>
      <c r="Q72" s="68"/>
      <c r="R72" s="151"/>
      <c r="S72" s="346"/>
      <c r="T72" s="347"/>
      <c r="U72" s="347"/>
      <c r="V72" s="347"/>
      <c r="W72" s="348"/>
    </row>
    <row r="73" spans="2:23">
      <c r="B73" s="65"/>
      <c r="C73" s="44"/>
      <c r="D73" s="44"/>
      <c r="E73" s="40"/>
      <c r="F73" s="374" t="str">
        <f>IF(K8&lt;Annexes!O28,"CA moyen sur un mois :","")</f>
        <v>CA moyen sur un mois :</v>
      </c>
      <c r="G73" s="374"/>
      <c r="H73" s="374"/>
      <c r="I73" s="50">
        <f>IF(AND(K8&gt;Annexes!O14,K8&lt;Annexes!O28),I71*360/(Annexes!O28-K8+1)/12,I71/12)</f>
        <v>0</v>
      </c>
      <c r="J73" s="205"/>
      <c r="K73" s="44"/>
      <c r="L73" s="40"/>
      <c r="M73" s="54">
        <f>IF(AND(K8&gt;Annexes!O14,K8&lt;Annexes!O20),M71*360/(Annexes!O28-K8+1)/12,M71/12)</f>
        <v>0</v>
      </c>
      <c r="N73" s="40"/>
      <c r="O73" s="281"/>
      <c r="P73" s="281"/>
      <c r="Q73" s="68"/>
      <c r="R73" s="150"/>
      <c r="S73" s="346"/>
      <c r="T73" s="347"/>
      <c r="U73" s="347"/>
      <c r="V73" s="347"/>
      <c r="W73" s="348"/>
    </row>
    <row r="74" spans="2:23">
      <c r="B74" s="65"/>
      <c r="C74" s="44"/>
      <c r="D74" s="44"/>
      <c r="E74" s="64"/>
      <c r="F74" s="64"/>
      <c r="G74" s="64"/>
      <c r="H74" s="64"/>
      <c r="I74" s="64"/>
      <c r="J74" s="64"/>
      <c r="K74" s="64"/>
      <c r="L74" s="64"/>
      <c r="M74" s="64"/>
      <c r="N74" s="64"/>
      <c r="O74" s="40"/>
      <c r="P74" s="40"/>
      <c r="Q74" s="68"/>
      <c r="R74" s="150"/>
      <c r="S74" s="346"/>
      <c r="T74" s="347"/>
      <c r="U74" s="347"/>
      <c r="V74" s="347"/>
      <c r="W74" s="348"/>
    </row>
    <row r="75" spans="2:23" ht="15.75" customHeight="1">
      <c r="B75" s="65"/>
      <c r="C75" s="44"/>
      <c r="D75" s="44"/>
      <c r="E75" s="44"/>
      <c r="F75" s="44"/>
      <c r="G75" s="44"/>
      <c r="H75" s="44"/>
      <c r="I75" s="44"/>
      <c r="J75" s="44"/>
      <c r="K75" s="44"/>
      <c r="L75" s="44"/>
      <c r="M75" s="44"/>
      <c r="N75" s="44"/>
      <c r="O75" s="40"/>
      <c r="P75" s="40"/>
      <c r="Q75" s="68"/>
      <c r="R75" s="150"/>
      <c r="S75" s="346"/>
      <c r="T75" s="347"/>
      <c r="U75" s="347"/>
      <c r="V75" s="347"/>
      <c r="W75" s="348"/>
    </row>
    <row r="76" spans="2:23" ht="15.75" customHeight="1">
      <c r="B76" s="65"/>
      <c r="C76" s="44"/>
      <c r="D76" s="44"/>
      <c r="E76" s="44"/>
      <c r="F76" s="44"/>
      <c r="G76" s="44"/>
      <c r="H76" s="44"/>
      <c r="I76" s="44"/>
      <c r="J76" s="44"/>
      <c r="K76" s="44"/>
      <c r="L76" s="44"/>
      <c r="M76" s="44"/>
      <c r="N76" s="44"/>
      <c r="O76" s="40"/>
      <c r="P76" s="40"/>
      <c r="Q76" s="68"/>
      <c r="R76" s="150"/>
      <c r="S76" s="346"/>
      <c r="T76" s="347"/>
      <c r="U76" s="347"/>
      <c r="V76" s="347"/>
      <c r="W76" s="348"/>
    </row>
    <row r="77" spans="2:23">
      <c r="B77" s="65"/>
      <c r="C77" s="44"/>
      <c r="D77" s="44"/>
      <c r="E77" s="359" t="s">
        <v>44</v>
      </c>
      <c r="F77" s="359"/>
      <c r="G77" s="359"/>
      <c r="H77" s="359"/>
      <c r="I77" s="359"/>
      <c r="J77" s="359"/>
      <c r="K77" s="381" t="s">
        <v>116</v>
      </c>
      <c r="L77" s="382"/>
      <c r="M77" s="382"/>
      <c r="N77" s="382"/>
      <c r="O77" s="382"/>
      <c r="P77" s="382"/>
      <c r="Q77" s="68"/>
      <c r="R77" s="150"/>
      <c r="S77" s="346"/>
      <c r="T77" s="347"/>
      <c r="U77" s="347"/>
      <c r="V77" s="347"/>
      <c r="W77" s="348"/>
    </row>
    <row r="78" spans="2:23">
      <c r="B78" s="65"/>
      <c r="C78" s="44"/>
      <c r="D78" s="44"/>
      <c r="E78" s="210"/>
      <c r="F78" s="210"/>
      <c r="G78" s="210"/>
      <c r="H78" s="210"/>
      <c r="I78" s="210"/>
      <c r="J78" s="220"/>
      <c r="K78" s="381"/>
      <c r="L78" s="382"/>
      <c r="M78" s="382"/>
      <c r="N78" s="382"/>
      <c r="O78" s="382"/>
      <c r="P78" s="382"/>
      <c r="Q78" s="68"/>
      <c r="R78" s="150"/>
      <c r="S78" s="346"/>
      <c r="T78" s="347"/>
      <c r="U78" s="347"/>
      <c r="V78" s="347"/>
      <c r="W78" s="348"/>
    </row>
    <row r="79" spans="2:23">
      <c r="B79" s="65"/>
      <c r="C79" s="44"/>
      <c r="D79" s="44"/>
      <c r="E79" s="40"/>
      <c r="F79" s="49"/>
      <c r="G79" s="49"/>
      <c r="H79" s="356" t="s">
        <v>87</v>
      </c>
      <c r="I79" s="356"/>
      <c r="J79" s="356"/>
      <c r="K79" s="185"/>
      <c r="L79" s="356" t="s">
        <v>88</v>
      </c>
      <c r="M79" s="356"/>
      <c r="N79" s="356"/>
      <c r="O79" s="356"/>
      <c r="P79" s="49"/>
      <c r="Q79" s="68"/>
      <c r="R79" s="150"/>
      <c r="S79" s="346"/>
      <c r="T79" s="347"/>
      <c r="U79" s="347"/>
      <c r="V79" s="347"/>
      <c r="W79" s="348"/>
    </row>
    <row r="80" spans="2:23" ht="15.75" thickBot="1">
      <c r="B80" s="65"/>
      <c r="C80" s="44"/>
      <c r="D80" s="44"/>
      <c r="E80" s="40"/>
      <c r="F80" s="40"/>
      <c r="G80" s="40"/>
      <c r="H80" s="40"/>
      <c r="I80" s="40"/>
      <c r="J80" s="65"/>
      <c r="K80" s="44"/>
      <c r="L80" s="40"/>
      <c r="M80" s="40"/>
      <c r="N80" s="40"/>
      <c r="O80" s="40"/>
      <c r="P80" s="40"/>
      <c r="Q80" s="68"/>
      <c r="R80" s="150"/>
      <c r="S80" s="346"/>
      <c r="T80" s="347"/>
      <c r="U80" s="347"/>
      <c r="V80" s="347"/>
      <c r="W80" s="348"/>
    </row>
    <row r="81" spans="2:23" ht="15" customHeight="1" thickBot="1">
      <c r="B81" s="65"/>
      <c r="C81" s="44"/>
      <c r="D81" s="44"/>
      <c r="E81" s="158" t="str">
        <f>IF(Annexes!M9=FALSE,"- Fermeture en Septembre :",IF(Annexes!M4=1,"- Fermeture en Septembre :","- Septembre sur le nb de jours :"))</f>
        <v>- Fermeture en Septembre :</v>
      </c>
      <c r="F81" s="158"/>
      <c r="G81" s="158"/>
      <c r="H81" s="40"/>
      <c r="I81" s="114">
        <v>0</v>
      </c>
      <c r="J81" s="65"/>
      <c r="K81" s="44"/>
      <c r="L81" s="40"/>
      <c r="M81" s="114">
        <v>0</v>
      </c>
      <c r="N81" s="90"/>
      <c r="O81" s="40"/>
      <c r="P81" s="136"/>
      <c r="Q81" s="68"/>
      <c r="R81" s="150"/>
      <c r="S81" s="346"/>
      <c r="T81" s="347"/>
      <c r="U81" s="347"/>
      <c r="V81" s="347"/>
      <c r="W81" s="348"/>
    </row>
    <row r="82" spans="2:23">
      <c r="B82" s="65"/>
      <c r="C82" s="44"/>
      <c r="D82" s="44"/>
      <c r="E82" s="360" t="str">
        <f>IF(Annexes!M9=FALSE,"Non-Concerné",IF(Annexes!M4=1,"Non-Concerné","Seulement le CA sur le nombre de jours de fermeture administrative"))</f>
        <v>Non-Concerné</v>
      </c>
      <c r="F82" s="360"/>
      <c r="G82" s="360"/>
      <c r="H82" s="360"/>
      <c r="I82" s="360"/>
      <c r="J82" s="364"/>
      <c r="K82" s="44"/>
      <c r="L82" s="40"/>
      <c r="M82" s="51"/>
      <c r="N82" s="40"/>
      <c r="O82" s="40"/>
      <c r="P82" s="136"/>
      <c r="Q82" s="68"/>
      <c r="R82" s="150"/>
      <c r="S82" s="346"/>
      <c r="T82" s="347"/>
      <c r="U82" s="347"/>
      <c r="V82" s="347"/>
      <c r="W82" s="348"/>
    </row>
    <row r="83" spans="2:23" ht="15.75" customHeight="1" thickBot="1">
      <c r="B83" s="65"/>
      <c r="C83" s="44"/>
      <c r="D83" s="44"/>
      <c r="E83" s="52"/>
      <c r="F83" s="52"/>
      <c r="G83" s="52"/>
      <c r="H83" s="52"/>
      <c r="I83" s="52"/>
      <c r="J83" s="65"/>
      <c r="K83" s="44"/>
      <c r="L83" s="40"/>
      <c r="M83" s="51"/>
      <c r="N83" s="40"/>
      <c r="O83" s="40"/>
      <c r="P83" s="136"/>
      <c r="Q83" s="68"/>
      <c r="R83" s="150"/>
      <c r="S83" s="346"/>
      <c r="T83" s="347"/>
      <c r="U83" s="347"/>
      <c r="V83" s="347"/>
      <c r="W83" s="348"/>
    </row>
    <row r="84" spans="2:23" ht="15.75" thickBot="1">
      <c r="B84" s="65"/>
      <c r="C84" s="44"/>
      <c r="D84" s="44"/>
      <c r="E84" s="160" t="str">
        <f>IF(Annexes!M9=FALSE,"- Fermeture en Octobre :",IF(Annexes!M6=1,"- Fermeture en Octobre :","- Octobre sur le nb de jours :"))</f>
        <v>- Fermeture en Octobre :</v>
      </c>
      <c r="F84" s="159"/>
      <c r="G84" s="159"/>
      <c r="H84" s="52"/>
      <c r="I84" s="114">
        <v>0</v>
      </c>
      <c r="J84" s="65"/>
      <c r="K84" s="44"/>
      <c r="L84" s="40"/>
      <c r="M84" s="114">
        <v>0</v>
      </c>
      <c r="N84" s="90"/>
      <c r="O84" s="40"/>
      <c r="P84" s="136"/>
      <c r="Q84" s="68"/>
      <c r="R84" s="150"/>
      <c r="S84" s="346"/>
      <c r="T84" s="347"/>
      <c r="U84" s="347"/>
      <c r="V84" s="347"/>
      <c r="W84" s="348"/>
    </row>
    <row r="85" spans="2:23">
      <c r="B85" s="65"/>
      <c r="C85" s="44"/>
      <c r="D85" s="44"/>
      <c r="E85" s="362" t="str">
        <f>IF(Annexes!M9=FALSE,"Non-Concerné",IF(Annexes!M6=1,"Non-Concerné","Seulement le CA sur le nombre de jours de fermeture administrative"))</f>
        <v>Non-Concerné</v>
      </c>
      <c r="F85" s="362"/>
      <c r="G85" s="362"/>
      <c r="H85" s="362"/>
      <c r="I85" s="362"/>
      <c r="J85" s="363"/>
      <c r="K85" s="44"/>
      <c r="L85" s="40"/>
      <c r="M85" s="51"/>
      <c r="N85" s="40"/>
      <c r="O85" s="40"/>
      <c r="P85" s="136"/>
      <c r="Q85" s="68"/>
      <c r="R85" s="150"/>
      <c r="S85" s="346"/>
      <c r="T85" s="347"/>
      <c r="U85" s="347"/>
      <c r="V85" s="347"/>
      <c r="W85" s="348"/>
    </row>
    <row r="86" spans="2:23" ht="15.75" thickBot="1">
      <c r="B86" s="65"/>
      <c r="C86" s="44"/>
      <c r="D86" s="44"/>
      <c r="E86" s="40"/>
      <c r="F86" s="40"/>
      <c r="G86" s="40"/>
      <c r="H86" s="40"/>
      <c r="I86" s="40"/>
      <c r="J86" s="65"/>
      <c r="K86" s="44"/>
      <c r="L86" s="40"/>
      <c r="M86" s="40"/>
      <c r="N86" s="40"/>
      <c r="O86" s="40"/>
      <c r="P86" s="40"/>
      <c r="Q86" s="68"/>
      <c r="R86" s="150"/>
      <c r="S86" s="346"/>
      <c r="T86" s="347"/>
      <c r="U86" s="347"/>
      <c r="V86" s="347"/>
      <c r="W86" s="348"/>
    </row>
    <row r="87" spans="2:23" ht="15.75" thickBot="1">
      <c r="B87" s="65"/>
      <c r="C87" s="44"/>
      <c r="D87" s="44"/>
      <c r="E87" s="357" t="s">
        <v>16</v>
      </c>
      <c r="F87" s="357"/>
      <c r="G87" s="40"/>
      <c r="H87" s="40"/>
      <c r="I87" s="114">
        <v>0</v>
      </c>
      <c r="J87" s="65"/>
      <c r="K87" s="44"/>
      <c r="L87" s="40"/>
      <c r="M87" s="114">
        <v>0</v>
      </c>
      <c r="N87" s="88"/>
      <c r="O87" s="53"/>
      <c r="P87" s="40"/>
      <c r="Q87" s="68"/>
      <c r="R87" s="150"/>
      <c r="S87" s="346"/>
      <c r="T87" s="347"/>
      <c r="U87" s="347"/>
      <c r="V87" s="347"/>
      <c r="W87" s="348"/>
    </row>
    <row r="88" spans="2:23" ht="15.75" thickBot="1">
      <c r="B88" s="65"/>
      <c r="C88" s="44"/>
      <c r="D88" s="44"/>
      <c r="E88" s="40"/>
      <c r="F88" s="40"/>
      <c r="G88" s="40"/>
      <c r="H88" s="40"/>
      <c r="I88" s="40"/>
      <c r="J88" s="65"/>
      <c r="K88" s="44"/>
      <c r="L88" s="40"/>
      <c r="M88" s="40"/>
      <c r="N88" s="40"/>
      <c r="O88" s="40"/>
      <c r="P88" s="40"/>
      <c r="Q88" s="68"/>
      <c r="R88" s="150"/>
      <c r="S88" s="346"/>
      <c r="T88" s="347"/>
      <c r="U88" s="347"/>
      <c r="V88" s="347"/>
      <c r="W88" s="348"/>
    </row>
    <row r="89" spans="2:23" ht="15.75" thickBot="1">
      <c r="B89" s="65"/>
      <c r="C89" s="44"/>
      <c r="D89" s="44"/>
      <c r="E89" s="357" t="s">
        <v>17</v>
      </c>
      <c r="F89" s="357"/>
      <c r="G89" s="40"/>
      <c r="H89" s="40"/>
      <c r="I89" s="114">
        <v>0</v>
      </c>
      <c r="J89" s="65"/>
      <c r="K89" s="44"/>
      <c r="L89" s="40"/>
      <c r="M89" s="114">
        <v>0</v>
      </c>
      <c r="N89" s="88"/>
      <c r="O89" s="54"/>
      <c r="P89" s="40"/>
      <c r="Q89" s="68"/>
      <c r="R89" s="150"/>
      <c r="S89" s="346"/>
      <c r="T89" s="347"/>
      <c r="U89" s="347"/>
      <c r="V89" s="347"/>
      <c r="W89" s="348"/>
    </row>
    <row r="90" spans="2:23" ht="15.75" thickBot="1">
      <c r="B90" s="65"/>
      <c r="C90" s="44"/>
      <c r="D90" s="44"/>
      <c r="E90" s="40"/>
      <c r="F90" s="40"/>
      <c r="G90" s="40"/>
      <c r="H90" s="40"/>
      <c r="I90" s="40"/>
      <c r="J90" s="65"/>
      <c r="K90" s="44"/>
      <c r="L90" s="40"/>
      <c r="M90" s="40"/>
      <c r="N90" s="40"/>
      <c r="O90" s="40"/>
      <c r="P90" s="40"/>
      <c r="Q90" s="68"/>
      <c r="R90" s="150"/>
      <c r="S90" s="346"/>
      <c r="T90" s="347"/>
      <c r="U90" s="347"/>
      <c r="V90" s="347"/>
      <c r="W90" s="348"/>
    </row>
    <row r="91" spans="2:23" ht="15.75" thickBot="1">
      <c r="B91" s="65"/>
      <c r="C91" s="44"/>
      <c r="D91" s="44"/>
      <c r="E91" s="168" t="s">
        <v>94</v>
      </c>
      <c r="F91" s="40"/>
      <c r="G91" s="40"/>
      <c r="H91" s="40"/>
      <c r="I91" s="114">
        <v>0</v>
      </c>
      <c r="J91" s="65"/>
      <c r="K91" s="44"/>
      <c r="L91" s="40"/>
      <c r="M91" s="114">
        <v>0</v>
      </c>
      <c r="N91" s="40"/>
      <c r="O91" s="40"/>
      <c r="P91" s="40"/>
      <c r="Q91" s="68"/>
      <c r="R91" s="150"/>
      <c r="S91" s="346"/>
      <c r="T91" s="347"/>
      <c r="U91" s="347"/>
      <c r="V91" s="347"/>
      <c r="W91" s="348"/>
    </row>
    <row r="92" spans="2:23" ht="15.75" customHeight="1" thickBot="1">
      <c r="B92" s="65"/>
      <c r="C92" s="44"/>
      <c r="D92" s="44"/>
      <c r="E92" s="40"/>
      <c r="F92" s="40"/>
      <c r="G92" s="40"/>
      <c r="H92" s="40"/>
      <c r="I92" s="40"/>
      <c r="J92" s="65"/>
      <c r="K92" s="44"/>
      <c r="L92" s="40"/>
      <c r="M92" s="40"/>
      <c r="N92" s="40"/>
      <c r="O92" s="40"/>
      <c r="P92" s="40"/>
      <c r="Q92" s="68"/>
      <c r="R92" s="150"/>
      <c r="S92" s="346"/>
      <c r="T92" s="347"/>
      <c r="U92" s="347"/>
      <c r="V92" s="347"/>
      <c r="W92" s="348"/>
    </row>
    <row r="93" spans="2:23" ht="15.75" customHeight="1" thickBot="1">
      <c r="B93" s="65"/>
      <c r="C93" s="44"/>
      <c r="D93" s="44"/>
      <c r="E93" s="358" t="s">
        <v>18</v>
      </c>
      <c r="F93" s="358"/>
      <c r="G93" s="358"/>
      <c r="H93" s="40"/>
      <c r="I93" s="114">
        <f>I73*2</f>
        <v>0</v>
      </c>
      <c r="J93" s="89" t="str">
        <f>IF('Mon Entreprise'!K8&lt;Annexes!O17,"*","")</f>
        <v>*</v>
      </c>
      <c r="K93" s="44"/>
      <c r="L93" s="40"/>
      <c r="M93" s="114">
        <v>0</v>
      </c>
      <c r="N93" s="88"/>
      <c r="O93" s="40"/>
      <c r="P93" s="40"/>
      <c r="Q93" s="68"/>
      <c r="R93" s="150"/>
      <c r="S93" s="346"/>
      <c r="T93" s="347"/>
      <c r="U93" s="347"/>
      <c r="V93" s="347"/>
      <c r="W93" s="348"/>
    </row>
    <row r="94" spans="2:23">
      <c r="B94" s="65"/>
      <c r="C94" s="44"/>
      <c r="D94" s="44"/>
      <c r="E94" s="360" t="str">
        <f>IF(AND(Annexes!F7&gt;1,Annexes!F7&lt;=Annexes!H8),"","Non-Concerné")</f>
        <v>Non-Concerné</v>
      </c>
      <c r="F94" s="360"/>
      <c r="G94" s="360"/>
      <c r="H94" s="40"/>
      <c r="I94" s="51"/>
      <c r="J94" s="89"/>
      <c r="K94" s="44"/>
      <c r="L94" s="40"/>
      <c r="M94" s="40"/>
      <c r="N94" s="40"/>
      <c r="O94" s="40"/>
      <c r="P94" s="40"/>
      <c r="Q94" s="68"/>
      <c r="R94" s="150"/>
      <c r="S94" s="346"/>
      <c r="T94" s="347"/>
      <c r="U94" s="347"/>
      <c r="V94" s="347"/>
      <c r="W94" s="348"/>
    </row>
    <row r="95" spans="2:23">
      <c r="B95" s="65"/>
      <c r="C95" s="44"/>
      <c r="D95" s="44"/>
      <c r="E95" s="209"/>
      <c r="F95" s="209"/>
      <c r="G95" s="209"/>
      <c r="H95" s="40"/>
      <c r="I95" s="51"/>
      <c r="J95" s="89"/>
      <c r="K95" s="44"/>
      <c r="L95" s="356" t="s">
        <v>117</v>
      </c>
      <c r="M95" s="356"/>
      <c r="N95" s="356"/>
      <c r="O95" s="356"/>
      <c r="P95" s="40"/>
      <c r="Q95" s="68"/>
      <c r="R95" s="150"/>
      <c r="S95" s="346"/>
      <c r="T95" s="347"/>
      <c r="U95" s="347"/>
      <c r="V95" s="347"/>
      <c r="W95" s="348"/>
    </row>
    <row r="96" spans="2:23" ht="15.75" thickBot="1">
      <c r="B96" s="65"/>
      <c r="C96" s="44"/>
      <c r="D96" s="44"/>
      <c r="E96" s="209"/>
      <c r="F96" s="209"/>
      <c r="G96" s="209"/>
      <c r="H96" s="40"/>
      <c r="I96" s="51"/>
      <c r="J96" s="89"/>
      <c r="K96" s="44"/>
      <c r="L96" s="40"/>
      <c r="M96" s="40"/>
      <c r="N96" s="40"/>
      <c r="O96" s="40"/>
      <c r="P96" s="40"/>
      <c r="Q96" s="68"/>
      <c r="R96" s="150"/>
      <c r="S96" s="346"/>
      <c r="T96" s="347"/>
      <c r="U96" s="347"/>
      <c r="V96" s="347"/>
      <c r="W96" s="348"/>
    </row>
    <row r="97" spans="2:23" ht="15.75" thickBot="1">
      <c r="B97" s="65"/>
      <c r="C97" s="44"/>
      <c r="D97" s="44"/>
      <c r="E97" s="168" t="s">
        <v>118</v>
      </c>
      <c r="F97" s="40"/>
      <c r="G97" s="40"/>
      <c r="H97" s="40"/>
      <c r="I97" s="114">
        <v>0</v>
      </c>
      <c r="J97" s="65"/>
      <c r="K97" s="44"/>
      <c r="L97" s="40"/>
      <c r="M97" s="114">
        <v>0</v>
      </c>
      <c r="N97" s="40"/>
      <c r="O97" s="40"/>
      <c r="P97" s="40"/>
      <c r="Q97" s="68"/>
      <c r="R97" s="150"/>
      <c r="S97" s="367"/>
      <c r="T97" s="347"/>
      <c r="U97" s="347"/>
      <c r="V97" s="347"/>
      <c r="W97" s="348"/>
    </row>
    <row r="98" spans="2:23" ht="15.75" thickBot="1">
      <c r="B98" s="65"/>
      <c r="C98" s="44"/>
      <c r="D98" s="44"/>
      <c r="E98" s="40"/>
      <c r="F98" s="40"/>
      <c r="G98" s="40"/>
      <c r="H98" s="40"/>
      <c r="I98" s="40"/>
      <c r="J98" s="65"/>
      <c r="K98" s="44"/>
      <c r="L98" s="40"/>
      <c r="M98" s="40"/>
      <c r="N98" s="44"/>
      <c r="O98" s="40"/>
      <c r="P98" s="40"/>
      <c r="Q98" s="68"/>
      <c r="R98" s="150"/>
      <c r="S98" s="346"/>
      <c r="T98" s="347"/>
      <c r="U98" s="347"/>
      <c r="V98" s="347"/>
      <c r="W98" s="348"/>
    </row>
    <row r="99" spans="2:23" ht="15.75" thickBot="1">
      <c r="B99" s="65"/>
      <c r="C99" s="44"/>
      <c r="D99" s="44"/>
      <c r="E99" s="168" t="s">
        <v>308</v>
      </c>
      <c r="F99" s="40"/>
      <c r="G99" s="40"/>
      <c r="H99" s="40"/>
      <c r="I99" s="114">
        <v>0</v>
      </c>
      <c r="J99" s="65"/>
      <c r="K99" s="44"/>
      <c r="L99" s="40"/>
      <c r="M99" s="114">
        <v>0</v>
      </c>
      <c r="N99" s="44"/>
      <c r="O99" s="40"/>
      <c r="P99" s="40"/>
      <c r="Q99" s="68"/>
      <c r="R99" s="150"/>
      <c r="S99" s="346"/>
      <c r="T99" s="347"/>
      <c r="U99" s="347"/>
      <c r="V99" s="347"/>
      <c r="W99" s="348"/>
    </row>
    <row r="100" spans="2:23" ht="15.75" thickBot="1">
      <c r="B100" s="65"/>
      <c r="C100" s="44"/>
      <c r="D100" s="44"/>
      <c r="E100" s="40"/>
      <c r="F100" s="40"/>
      <c r="G100" s="40"/>
      <c r="H100" s="40"/>
      <c r="I100" s="40"/>
      <c r="J100" s="65"/>
      <c r="K100" s="44"/>
      <c r="L100" s="40"/>
      <c r="M100" s="40"/>
      <c r="N100" s="40"/>
      <c r="O100" s="40"/>
      <c r="P100" s="40"/>
      <c r="Q100" s="68"/>
      <c r="R100" s="150"/>
      <c r="S100" s="346"/>
      <c r="T100" s="347"/>
      <c r="U100" s="347"/>
      <c r="V100" s="347"/>
      <c r="W100" s="348"/>
    </row>
    <row r="101" spans="2:23" ht="15.75" thickBot="1">
      <c r="B101" s="65"/>
      <c r="C101" s="44"/>
      <c r="D101" s="44"/>
      <c r="E101" s="168" t="s">
        <v>381</v>
      </c>
      <c r="F101" s="40"/>
      <c r="G101" s="40"/>
      <c r="H101" s="40"/>
      <c r="I101" s="114">
        <v>0</v>
      </c>
      <c r="J101" s="65"/>
      <c r="K101" s="44"/>
      <c r="L101" s="40"/>
      <c r="M101" s="114">
        <v>0</v>
      </c>
      <c r="N101" s="40"/>
      <c r="O101" s="40"/>
      <c r="P101" s="40"/>
      <c r="Q101" s="68"/>
      <c r="R101" s="150"/>
      <c r="S101" s="346"/>
      <c r="T101" s="347"/>
      <c r="U101" s="347"/>
      <c r="V101" s="347"/>
      <c r="W101" s="348"/>
    </row>
    <row r="102" spans="2:23" ht="15.75" thickBot="1">
      <c r="B102" s="65"/>
      <c r="C102" s="44"/>
      <c r="D102" s="44"/>
      <c r="E102" s="40"/>
      <c r="F102" s="40"/>
      <c r="G102" s="40"/>
      <c r="H102" s="40"/>
      <c r="I102" s="40"/>
      <c r="J102" s="40"/>
      <c r="K102" s="40"/>
      <c r="L102" s="40"/>
      <c r="M102" s="40"/>
      <c r="N102" s="40"/>
      <c r="O102" s="40"/>
      <c r="P102" s="40"/>
      <c r="Q102" s="68"/>
      <c r="R102" s="150"/>
      <c r="S102" s="346"/>
      <c r="T102" s="347"/>
      <c r="U102" s="347"/>
      <c r="V102" s="347"/>
      <c r="W102" s="348"/>
    </row>
    <row r="103" spans="2:23" ht="15.75" thickBot="1">
      <c r="B103" s="65"/>
      <c r="C103" s="44"/>
      <c r="D103" s="44"/>
      <c r="E103" s="168" t="s">
        <v>441</v>
      </c>
      <c r="F103" s="40"/>
      <c r="G103" s="40"/>
      <c r="H103" s="40"/>
      <c r="I103" s="114">
        <v>0</v>
      </c>
      <c r="J103" s="65"/>
      <c r="K103" s="44"/>
      <c r="L103" s="40"/>
      <c r="M103" s="114">
        <v>0</v>
      </c>
      <c r="N103" s="40"/>
      <c r="O103" s="40"/>
      <c r="P103" s="40"/>
      <c r="Q103" s="68"/>
      <c r="R103" s="150"/>
      <c r="S103" s="346"/>
      <c r="T103" s="347"/>
      <c r="U103" s="347"/>
      <c r="V103" s="347"/>
      <c r="W103" s="348"/>
    </row>
    <row r="104" spans="2:23">
      <c r="B104" s="65"/>
      <c r="C104" s="44"/>
      <c r="D104" s="44"/>
      <c r="E104" s="40"/>
      <c r="F104" s="40"/>
      <c r="G104" s="40"/>
      <c r="H104" s="40"/>
      <c r="I104" s="40"/>
      <c r="J104" s="40"/>
      <c r="K104" s="40"/>
      <c r="L104" s="40"/>
      <c r="M104" s="40"/>
      <c r="N104" s="40"/>
      <c r="O104" s="40"/>
      <c r="P104" s="40"/>
      <c r="Q104" s="68"/>
      <c r="R104" s="150"/>
      <c r="S104" s="346"/>
      <c r="T104" s="347"/>
      <c r="U104" s="347"/>
      <c r="V104" s="347"/>
      <c r="W104" s="348"/>
    </row>
    <row r="105" spans="2:23">
      <c r="B105" s="65"/>
      <c r="C105" s="44"/>
      <c r="D105" s="44"/>
      <c r="E105" s="361" t="str">
        <f>IF(K8&lt;Annexes!O17,"A compléter seulement en cas de création d'activité à partir du 1er Janvier 2019","En cas de création d'activité à partir du 1er Janvier 2019")</f>
        <v>A compléter seulement en cas de création d'activité à partir du 1er Janvier 2019</v>
      </c>
      <c r="F105" s="361"/>
      <c r="G105" s="361"/>
      <c r="H105" s="361"/>
      <c r="I105" s="361"/>
      <c r="J105" s="361"/>
      <c r="K105" s="361"/>
      <c r="L105" s="361"/>
      <c r="M105" s="361"/>
      <c r="N105" s="361"/>
      <c r="O105" s="40"/>
      <c r="P105" s="40"/>
      <c r="Q105" s="68"/>
      <c r="R105" s="150"/>
      <c r="S105" s="346"/>
      <c r="T105" s="347"/>
      <c r="U105" s="347"/>
      <c r="V105" s="347"/>
      <c r="W105" s="348"/>
    </row>
    <row r="106" spans="2:23">
      <c r="B106" s="65"/>
      <c r="C106" s="44"/>
      <c r="D106" s="44"/>
      <c r="E106" s="40"/>
      <c r="F106" s="40"/>
      <c r="G106" s="40"/>
      <c r="H106" s="40"/>
      <c r="I106" s="51"/>
      <c r="J106" s="40"/>
      <c r="K106" s="40"/>
      <c r="L106" s="40"/>
      <c r="M106" s="40"/>
      <c r="N106" s="256"/>
      <c r="O106" s="40"/>
      <c r="P106" s="40"/>
      <c r="Q106" s="68"/>
      <c r="R106" s="150"/>
      <c r="S106" s="346"/>
      <c r="T106" s="347"/>
      <c r="U106" s="347"/>
      <c r="V106" s="347"/>
      <c r="W106" s="348"/>
    </row>
    <row r="107" spans="2:23">
      <c r="B107" s="65"/>
      <c r="C107" s="44"/>
      <c r="D107" s="44"/>
      <c r="E107" s="350" t="str">
        <f>IF(K8&gt;Annexes!R15,"",IF(K8&gt;=Annexes!O20,"Aide pour Avril 2021 :",""))</f>
        <v/>
      </c>
      <c r="F107" s="351"/>
      <c r="G107" s="351"/>
      <c r="H107" s="351"/>
      <c r="I107" s="351"/>
      <c r="J107" s="351"/>
      <c r="K107" s="40"/>
      <c r="L107" s="40"/>
      <c r="M107" s="40"/>
      <c r="N107" s="256"/>
      <c r="O107" s="40"/>
      <c r="P107" s="40"/>
      <c r="Q107" s="68"/>
      <c r="R107" s="150"/>
      <c r="S107" s="346"/>
      <c r="T107" s="347"/>
      <c r="U107" s="347"/>
      <c r="V107" s="347"/>
      <c r="W107" s="348"/>
    </row>
    <row r="108" spans="2:23" ht="15.75" thickBot="1">
      <c r="B108" s="65"/>
      <c r="C108" s="44"/>
      <c r="D108" s="44"/>
      <c r="E108" s="352" t="str">
        <f>IF(K8&gt;Annexes!R15,"",IF(K8&gt;Annexes!Q29,"Entreprise créée entre le 1er et le 31 Janvier 2020 :",IF(K8&gt;Annexes!Q26,"Entreprise créée entre le 1er Novembre et le 31 Décembre 2020 :",IF(K8&gt;=Annexes!Q25,"Entreprise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08" s="352"/>
      <c r="G108" s="352"/>
      <c r="H108" s="352"/>
      <c r="I108" s="352"/>
      <c r="J108" s="352"/>
      <c r="K108" s="40"/>
      <c r="L108" s="40"/>
      <c r="M108" s="40"/>
      <c r="N108" s="256"/>
      <c r="O108" s="40"/>
      <c r="P108" s="40"/>
      <c r="Q108" s="68"/>
      <c r="R108" s="150"/>
      <c r="S108" s="346"/>
      <c r="T108" s="347"/>
      <c r="U108" s="347"/>
      <c r="V108" s="347"/>
      <c r="W108" s="348"/>
    </row>
    <row r="109" spans="2:23" ht="15.75" thickBot="1">
      <c r="B109" s="65"/>
      <c r="C109" s="44"/>
      <c r="D109" s="44"/>
      <c r="E109" s="352" t="str">
        <f>IF(K8&gt;Annexes!R15,"",IF(K8&gt;Annexes!Q29,"- Chiffre d'affaires du mois de Février 2021",IF(K8&gt;Annexes!Q26,"- Chiffre d'affaires du mois de Janvier  2021",IF(K8&gt;=Annexes!Q25,"-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09" s="352"/>
      <c r="G109" s="352"/>
      <c r="H109" s="352"/>
      <c r="I109" s="352"/>
      <c r="J109" s="352"/>
      <c r="K109" s="40"/>
      <c r="L109" s="40"/>
      <c r="M109" s="114">
        <v>0</v>
      </c>
      <c r="N109" s="256"/>
      <c r="O109" s="40"/>
      <c r="P109" s="40"/>
      <c r="Q109" s="68"/>
      <c r="R109" s="150"/>
      <c r="S109" s="346"/>
      <c r="T109" s="347"/>
      <c r="U109" s="347"/>
      <c r="V109" s="347"/>
      <c r="W109" s="348"/>
    </row>
    <row r="110" spans="2:23">
      <c r="B110" s="65"/>
      <c r="C110" s="44"/>
      <c r="D110" s="44"/>
      <c r="E110" s="258"/>
      <c r="F110" s="40"/>
      <c r="G110" s="40"/>
      <c r="H110" s="40"/>
      <c r="I110" s="51"/>
      <c r="J110" s="40"/>
      <c r="K110" s="40"/>
      <c r="L110" s="40"/>
      <c r="M110" s="40"/>
      <c r="N110" s="256"/>
      <c r="O110" s="40"/>
      <c r="P110" s="40"/>
      <c r="Q110" s="68"/>
      <c r="R110" s="150"/>
      <c r="S110" s="346"/>
      <c r="T110" s="347"/>
      <c r="U110" s="347"/>
      <c r="V110" s="347"/>
      <c r="W110" s="348"/>
    </row>
    <row r="111" spans="2:23">
      <c r="B111" s="65"/>
      <c r="C111" s="44"/>
      <c r="D111" s="44"/>
      <c r="E111" s="40"/>
      <c r="F111" s="345" t="str">
        <f>IF(K8&gt;Annexes!R15,"",IF(K8&gt;=Annexes!O14,"CA moyen sur un mois :",""))</f>
        <v/>
      </c>
      <c r="G111" s="345"/>
      <c r="H111" s="345"/>
      <c r="I111" s="51" t="str">
        <f>IFERROR(IF(K8&gt;Annexes!R15,"",IF(K8&gt;=Annexes!Q25,M109,IF(K8&gt;=Annexes!Q22,M109*360/(Annexes!Q26-K8+1)/12,IF(K8&gt;=Annexes!Q18,M109/4,IF(K8&gt;=Annexes!Q16,M109*360/(Annexes!Q17-K8+1)/12,IF(K8&gt;=Annexes!O20,M109*360/(Annexes!Q17-K8+1)/12,"")))))),0)</f>
        <v/>
      </c>
      <c r="J111" s="40"/>
      <c r="K111" s="40"/>
      <c r="L111" s="40"/>
      <c r="M111" s="40"/>
      <c r="N111" s="256"/>
      <c r="O111" s="40"/>
      <c r="P111" s="40"/>
      <c r="Q111" s="68"/>
      <c r="R111" s="150"/>
      <c r="S111" s="346"/>
      <c r="T111" s="347"/>
      <c r="U111" s="347"/>
      <c r="V111" s="347"/>
      <c r="W111" s="348"/>
    </row>
    <row r="112" spans="2:23">
      <c r="B112" s="65"/>
      <c r="C112" s="44"/>
      <c r="D112" s="44"/>
      <c r="E112" s="64"/>
      <c r="F112" s="64"/>
      <c r="G112" s="64"/>
      <c r="H112" s="64"/>
      <c r="I112" s="182"/>
      <c r="J112" s="64"/>
      <c r="K112" s="64"/>
      <c r="L112" s="64"/>
      <c r="M112" s="64"/>
      <c r="N112" s="256"/>
      <c r="O112" s="40"/>
      <c r="P112" s="40"/>
      <c r="Q112" s="68"/>
      <c r="R112" s="150"/>
      <c r="S112" s="346"/>
      <c r="T112" s="347"/>
      <c r="U112" s="347"/>
      <c r="V112" s="347"/>
      <c r="W112" s="348"/>
    </row>
    <row r="113" spans="2:23">
      <c r="B113" s="65"/>
      <c r="C113" s="44"/>
      <c r="D113" s="44"/>
      <c r="E113" s="40"/>
      <c r="F113" s="40"/>
      <c r="G113" s="40"/>
      <c r="H113" s="40"/>
      <c r="I113" s="51"/>
      <c r="J113" s="40"/>
      <c r="K113" s="40"/>
      <c r="L113" s="40"/>
      <c r="M113" s="40"/>
      <c r="N113" s="256"/>
      <c r="O113" s="40"/>
      <c r="P113" s="40"/>
      <c r="Q113" s="68"/>
      <c r="R113" s="150"/>
      <c r="S113" s="346"/>
      <c r="T113" s="347"/>
      <c r="U113" s="347"/>
      <c r="V113" s="347"/>
      <c r="W113" s="348"/>
    </row>
    <row r="114" spans="2:23">
      <c r="B114" s="65"/>
      <c r="C114" s="44"/>
      <c r="D114" s="44"/>
      <c r="E114" s="350" t="str">
        <f>IF(K8&gt;Annexes!Q29,"",IF(K8&gt;=Annexes!O20,"Aide pour Mars 2021 :",""))</f>
        <v/>
      </c>
      <c r="F114" s="351"/>
      <c r="G114" s="351"/>
      <c r="H114" s="351"/>
      <c r="I114" s="351"/>
      <c r="J114" s="351"/>
      <c r="K114" s="40"/>
      <c r="L114" s="40"/>
      <c r="M114" s="40"/>
      <c r="N114" s="256"/>
      <c r="O114" s="40"/>
      <c r="P114" s="40"/>
      <c r="Q114" s="68"/>
      <c r="R114" s="150"/>
      <c r="S114" s="346"/>
      <c r="T114" s="347"/>
      <c r="U114" s="347"/>
      <c r="V114" s="347"/>
      <c r="W114" s="348"/>
    </row>
    <row r="115" spans="2:23" ht="15.75" thickBot="1">
      <c r="B115" s="65"/>
      <c r="C115" s="44"/>
      <c r="D115" s="44"/>
      <c r="E115" s="352" t="str">
        <f>IF(K8&gt;Annexes!Q29,"",IF(K8&gt;Annexes!Q26,"Entreprise créée entre le 1er Novembre et le 31 Décembre 2020 :",IF(K8&gt;=Annexes!Q25,"Entreprise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15" s="352"/>
      <c r="G115" s="352"/>
      <c r="H115" s="352"/>
      <c r="I115" s="352"/>
      <c r="J115" s="352"/>
      <c r="K115" s="40"/>
      <c r="L115" s="40"/>
      <c r="M115" s="40"/>
      <c r="N115" s="256"/>
      <c r="O115" s="40"/>
      <c r="P115" s="40"/>
      <c r="Q115" s="68"/>
      <c r="R115" s="150"/>
      <c r="S115" s="346"/>
      <c r="T115" s="347"/>
      <c r="U115" s="347"/>
      <c r="V115" s="347"/>
      <c r="W115" s="348"/>
    </row>
    <row r="116" spans="2:23" ht="15.75" thickBot="1">
      <c r="B116" s="65"/>
      <c r="C116" s="44"/>
      <c r="D116" s="44"/>
      <c r="E116" s="352" t="str">
        <f>IF(K8&gt;Annexes!Q29,"",IF(K8&gt;Annexes!Q26,"- Chiffre d'affaires du mois de Janvier  2021",IF(K8&gt;=Annexes!Q25,"-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16" s="352"/>
      <c r="G116" s="352"/>
      <c r="H116" s="352"/>
      <c r="I116" s="352"/>
      <c r="J116" s="352"/>
      <c r="K116" s="40"/>
      <c r="L116" s="40"/>
      <c r="M116" s="114">
        <v>0</v>
      </c>
      <c r="N116" s="256"/>
      <c r="O116" s="40"/>
      <c r="P116" s="40"/>
      <c r="Q116" s="68"/>
      <c r="R116" s="150"/>
      <c r="S116" s="346"/>
      <c r="T116" s="347"/>
      <c r="U116" s="347"/>
      <c r="V116" s="347"/>
      <c r="W116" s="348"/>
    </row>
    <row r="117" spans="2:23">
      <c r="B117" s="65"/>
      <c r="C117" s="44"/>
      <c r="D117" s="44"/>
      <c r="E117" s="258" t="str">
        <f>IF(K8&gt;Annexes!Q29,"",IF(AND(K8&gt;=Annexes!Q25,K8&lt;=Annexes!Q26),"ou, en cas d'interdiction d'accueil du public, le chiffre d'affaires du mois d'Octobre 2020 ramené sur un mois",""))</f>
        <v/>
      </c>
      <c r="F117" s="40"/>
      <c r="G117" s="40"/>
      <c r="H117" s="40"/>
      <c r="I117" s="51"/>
      <c r="J117" s="40"/>
      <c r="K117" s="40"/>
      <c r="L117" s="40"/>
      <c r="M117" s="40"/>
      <c r="N117" s="256"/>
      <c r="O117" s="40"/>
      <c r="P117" s="40"/>
      <c r="Q117" s="68"/>
      <c r="R117" s="150"/>
      <c r="S117" s="346"/>
      <c r="T117" s="347"/>
      <c r="U117" s="347"/>
      <c r="V117" s="347"/>
      <c r="W117" s="348"/>
    </row>
    <row r="118" spans="2:23">
      <c r="B118" s="65"/>
      <c r="C118" s="44"/>
      <c r="D118" s="44"/>
      <c r="E118" s="40"/>
      <c r="F118" s="345" t="str">
        <f>IF(K8&gt;Annexes!Q29,"",IF(K8&gt;=Annexes!O14,"CA moyen sur un mois :",""))</f>
        <v/>
      </c>
      <c r="G118" s="345"/>
      <c r="H118" s="345"/>
      <c r="I118" s="51" t="str">
        <f>IFERROR(IF(K8&gt;Annexes!Q29,"",IF(K8&gt;=Annexes!Q25,M116,IF(K8&gt;=Annexes!Q22,M116*360/(Annexes!Q26-K8+1)/12,IF(K8&gt;=Annexes!Q18,M116/4,IF(K8&gt;=Annexes!Q16,M116*360/(Annexes!Q17-K8+1)/12,IF(K8&gt;=Annexes!O20,M116*360/(Annexes!Q17-K8+1)/12,"")))))),0)</f>
        <v/>
      </c>
      <c r="J118" s="40"/>
      <c r="K118" s="40"/>
      <c r="L118" s="40"/>
      <c r="M118" s="40"/>
      <c r="N118" s="256"/>
      <c r="O118" s="40"/>
      <c r="P118" s="40"/>
      <c r="Q118" s="68"/>
      <c r="R118" s="150"/>
      <c r="S118" s="346"/>
      <c r="T118" s="347"/>
      <c r="U118" s="347"/>
      <c r="V118" s="347"/>
      <c r="W118" s="348"/>
    </row>
    <row r="119" spans="2:23">
      <c r="B119" s="65"/>
      <c r="C119" s="44"/>
      <c r="D119" s="44"/>
      <c r="E119" s="64"/>
      <c r="F119" s="64"/>
      <c r="G119" s="64"/>
      <c r="H119" s="64"/>
      <c r="I119" s="182"/>
      <c r="J119" s="64"/>
      <c r="K119" s="64"/>
      <c r="L119" s="64"/>
      <c r="M119" s="64"/>
      <c r="N119" s="256"/>
      <c r="O119" s="40"/>
      <c r="P119" s="40"/>
      <c r="Q119" s="68"/>
      <c r="R119" s="150"/>
      <c r="S119" s="346"/>
      <c r="T119" s="347"/>
      <c r="U119" s="347"/>
      <c r="V119" s="347"/>
      <c r="W119" s="348"/>
    </row>
    <row r="120" spans="2:23">
      <c r="B120" s="65"/>
      <c r="C120" s="44"/>
      <c r="D120" s="44"/>
      <c r="E120" s="44"/>
      <c r="F120" s="44"/>
      <c r="G120" s="44"/>
      <c r="H120" s="44"/>
      <c r="I120" s="51"/>
      <c r="J120" s="44"/>
      <c r="K120" s="44"/>
      <c r="L120" s="44"/>
      <c r="M120" s="44"/>
      <c r="N120" s="256"/>
      <c r="O120" s="40"/>
      <c r="P120" s="40"/>
      <c r="Q120" s="68"/>
      <c r="R120" s="150"/>
      <c r="S120" s="346"/>
      <c r="T120" s="347"/>
      <c r="U120" s="347"/>
      <c r="V120" s="347"/>
      <c r="W120" s="348"/>
    </row>
    <row r="121" spans="2:23">
      <c r="B121" s="65"/>
      <c r="C121" s="44"/>
      <c r="D121" s="44"/>
      <c r="E121" s="350" t="str">
        <f>IF(K8&gt;Annexes!Q26,"",IF(K8&gt;=Annexes!O20,"Aide pour Janvier et Février 2021 :",""))</f>
        <v/>
      </c>
      <c r="F121" s="351"/>
      <c r="G121" s="351"/>
      <c r="H121" s="351"/>
      <c r="I121" s="351"/>
      <c r="J121" s="351"/>
      <c r="K121" s="40"/>
      <c r="L121" s="40"/>
      <c r="M121" s="40"/>
      <c r="N121" s="256"/>
      <c r="O121" s="40"/>
      <c r="P121" s="40"/>
      <c r="Q121" s="68"/>
      <c r="R121" s="150"/>
      <c r="S121" s="346"/>
      <c r="T121" s="347"/>
      <c r="U121" s="347"/>
      <c r="V121" s="347"/>
      <c r="W121" s="348"/>
    </row>
    <row r="122" spans="2:23" ht="15.75" thickBot="1">
      <c r="B122" s="65"/>
      <c r="C122" s="44"/>
      <c r="D122" s="44"/>
      <c r="E122" s="352" t="str">
        <f>IF(K8&gt;Annexes!Q26,"",IF(K8&gt;=Annexes!Q25,"Entreprise créée entre le 1er et le 30 Octobre 2020 :",IF(K8&gt;=Annexes!Q18,"Entreprise créée entre le 1er Mars le 30 Septembre 2020 :",IF(K8&gt;=Annexes!Q16,"Entreprise créée entre le 1er et le 29 février 2020 :",IF(K8&gt;=Annexes!O20,"Entreprise créée entre le 1er Juin 2019 et le 31 Janvier 2020 :","")))))</f>
        <v/>
      </c>
      <c r="F122" s="352"/>
      <c r="G122" s="352"/>
      <c r="H122" s="352"/>
      <c r="I122" s="352"/>
      <c r="J122" s="352"/>
      <c r="K122" s="40"/>
      <c r="L122" s="40"/>
      <c r="M122" s="40"/>
      <c r="N122" s="256"/>
      <c r="O122" s="40"/>
      <c r="P122" s="40"/>
      <c r="Q122" s="68"/>
      <c r="R122" s="150"/>
      <c r="S122" s="346"/>
      <c r="T122" s="347"/>
      <c r="U122" s="347"/>
      <c r="V122" s="347"/>
      <c r="W122" s="348"/>
    </row>
    <row r="123" spans="2:23" ht="15.75" thickBot="1">
      <c r="B123" s="65"/>
      <c r="C123" s="44"/>
      <c r="D123" s="44"/>
      <c r="E123" s="352" t="str">
        <f>IF(K8&gt;Annexes!Q26,"",IF(K8&gt;=Annexes!Q25,"- Chiffre d'affaires du mois de Décembre 2020",IF(K8&gt;=Annexes!Q22,"-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23" s="352"/>
      <c r="G123" s="352"/>
      <c r="H123" s="352"/>
      <c r="I123" s="352"/>
      <c r="J123" s="352"/>
      <c r="K123" s="40"/>
      <c r="L123" s="40"/>
      <c r="M123" s="114">
        <v>0</v>
      </c>
      <c r="N123" s="256"/>
      <c r="O123" s="40"/>
      <c r="P123" s="40"/>
      <c r="Q123" s="68"/>
      <c r="R123" s="150"/>
      <c r="S123" s="346"/>
      <c r="T123" s="347"/>
      <c r="U123" s="347"/>
      <c r="V123" s="347"/>
      <c r="W123" s="348"/>
    </row>
    <row r="124" spans="2:23">
      <c r="B124" s="65"/>
      <c r="C124" s="44"/>
      <c r="D124" s="44"/>
      <c r="E124" s="258" t="str">
        <f>IF(K8&gt;Annexes!Q26,"",IF(K8&gt;=Annexes!Q25,"ou, en cas d'interdiction d'accueil du public, le chiffre d'affaires du mois d'Octobre 2020 ramené sur un mois",""))</f>
        <v/>
      </c>
      <c r="F124" s="40"/>
      <c r="G124" s="40"/>
      <c r="H124" s="40"/>
      <c r="I124" s="51"/>
      <c r="J124" s="40"/>
      <c r="K124" s="40"/>
      <c r="L124" s="40"/>
      <c r="M124" s="40"/>
      <c r="N124" s="256"/>
      <c r="O124" s="40"/>
      <c r="P124" s="40"/>
      <c r="Q124" s="68"/>
      <c r="R124" s="150"/>
      <c r="S124" s="346"/>
      <c r="T124" s="347"/>
      <c r="U124" s="347"/>
      <c r="V124" s="347"/>
      <c r="W124" s="348"/>
    </row>
    <row r="125" spans="2:23">
      <c r="B125" s="65"/>
      <c r="C125" s="44"/>
      <c r="D125" s="44"/>
      <c r="E125" s="40"/>
      <c r="F125" s="345" t="str">
        <f>IF(K8&gt;Annexes!Q26,"",IF(K8&gt;=Annexes!O14,"CA moyen sur un mois :",""))</f>
        <v/>
      </c>
      <c r="G125" s="345"/>
      <c r="H125" s="345"/>
      <c r="I125" s="51" t="str">
        <f>IFERROR(IF(K8&gt;Annexes!Q26,"",IF(K8&gt;=Annexes!Q25,M123,IF(K8&gt;=Annexes!Q22,M123*360/(Annexes!Q26-K8+1)/12,IF(K8&gt;=Annexes!Q18,M123/4,IF(K8&gt;=Annexes!Q16,M123*360/(Annexes!Q17-K8+1)/12,IF(K8&gt;=Annexes!O20,M123*360/(Annexes!Q17-K8+1)/12,"")))))),0)</f>
        <v/>
      </c>
      <c r="J125" s="40"/>
      <c r="K125" s="40"/>
      <c r="L125" s="40"/>
      <c r="M125" s="40"/>
      <c r="N125" s="256"/>
      <c r="O125" s="40"/>
      <c r="P125" s="40"/>
      <c r="Q125" s="68"/>
      <c r="R125" s="150"/>
      <c r="S125" s="346"/>
      <c r="T125" s="347"/>
      <c r="U125" s="347"/>
      <c r="V125" s="347"/>
      <c r="W125" s="348"/>
    </row>
    <row r="126" spans="2:23">
      <c r="B126" s="65"/>
      <c r="C126" s="44"/>
      <c r="D126" s="44"/>
      <c r="E126" s="64"/>
      <c r="F126" s="64"/>
      <c r="G126" s="64"/>
      <c r="H126" s="64"/>
      <c r="I126" s="182"/>
      <c r="J126" s="64"/>
      <c r="K126" s="64"/>
      <c r="L126" s="64"/>
      <c r="M126" s="64"/>
      <c r="N126" s="256"/>
      <c r="O126" s="40"/>
      <c r="P126" s="40"/>
      <c r="Q126" s="68"/>
      <c r="R126" s="150"/>
      <c r="S126" s="346"/>
      <c r="T126" s="347"/>
      <c r="U126" s="347"/>
      <c r="V126" s="347"/>
      <c r="W126" s="348"/>
    </row>
    <row r="127" spans="2:23">
      <c r="B127" s="65"/>
      <c r="C127" s="44"/>
      <c r="D127" s="44"/>
      <c r="E127" s="40"/>
      <c r="F127" s="40"/>
      <c r="G127" s="40"/>
      <c r="H127" s="40"/>
      <c r="I127" s="51"/>
      <c r="J127" s="40"/>
      <c r="K127" s="40"/>
      <c r="L127" s="40"/>
      <c r="M127" s="40"/>
      <c r="N127" s="58"/>
      <c r="O127" s="40"/>
      <c r="P127" s="40"/>
      <c r="Q127" s="68"/>
      <c r="R127" s="150"/>
      <c r="S127" s="346"/>
      <c r="T127" s="347"/>
      <c r="U127" s="347"/>
      <c r="V127" s="347"/>
      <c r="W127" s="348"/>
    </row>
    <row r="128" spans="2:23">
      <c r="B128" s="65"/>
      <c r="C128" s="44"/>
      <c r="D128" s="44"/>
      <c r="E128" s="351" t="str">
        <f>IF(K8&gt;Annexes!Q24,"",IF(K8&gt;=Annexes!O20,"Aide pour Décembre 2020 :",""))</f>
        <v/>
      </c>
      <c r="F128" s="351"/>
      <c r="G128" s="351"/>
      <c r="H128" s="351"/>
      <c r="I128" s="351"/>
      <c r="J128" s="351"/>
      <c r="K128" s="40"/>
      <c r="L128" s="40"/>
      <c r="M128" s="40"/>
      <c r="N128" s="58"/>
      <c r="O128" s="40"/>
      <c r="P128" s="40"/>
      <c r="Q128" s="68"/>
      <c r="R128" s="150"/>
      <c r="S128" s="346"/>
      <c r="T128" s="347"/>
      <c r="U128" s="347"/>
      <c r="V128" s="347"/>
      <c r="W128" s="348"/>
    </row>
    <row r="129" spans="2:23" ht="15.75" thickBot="1">
      <c r="B129" s="65"/>
      <c r="C129" s="44"/>
      <c r="D129" s="44"/>
      <c r="E129" s="352"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29" s="352"/>
      <c r="G129" s="352"/>
      <c r="H129" s="352"/>
      <c r="I129" s="352"/>
      <c r="J129" s="352"/>
      <c r="K129" s="40"/>
      <c r="L129" s="40"/>
      <c r="M129" s="40"/>
      <c r="N129" s="40"/>
      <c r="O129" s="40"/>
      <c r="P129" s="40"/>
      <c r="Q129" s="68"/>
      <c r="R129" s="150"/>
      <c r="S129" s="346"/>
      <c r="T129" s="347"/>
      <c r="U129" s="347"/>
      <c r="V129" s="347"/>
      <c r="W129" s="348"/>
    </row>
    <row r="130" spans="2:23" ht="15.75" thickBot="1">
      <c r="B130" s="65"/>
      <c r="C130" s="44"/>
      <c r="D130" s="44"/>
      <c r="E130" s="352" t="str">
        <f>IF(K8&gt;Annexes!Q24,"",IF(K8&gt;Annexes!Q22,"- Chiffre d'affaires entre la création et le 31 Octobre 2020 :",IF(K8&gt;=Annexes!Q18,"- Chiffre d'affaires entre le 1er Juillet et le 31 Octobre 2020 :",IF(K8&gt;=Annexes!Q16,"- Chiffre d'affaires du mois de février 2020 :",IF(K8&gt;=Annexes!O20,"- Chiffre d'affaires entre la création et le 29 février 2020 :","")))))</f>
        <v/>
      </c>
      <c r="F130" s="352"/>
      <c r="G130" s="352"/>
      <c r="H130" s="352"/>
      <c r="I130" s="352"/>
      <c r="J130" s="352"/>
      <c r="K130" s="40"/>
      <c r="L130" s="40"/>
      <c r="M130" s="114">
        <v>0</v>
      </c>
      <c r="N130" s="90"/>
      <c r="O130" s="40"/>
      <c r="P130" s="40"/>
      <c r="Q130" s="68"/>
      <c r="R130" s="150"/>
      <c r="S130" s="346"/>
      <c r="T130" s="347"/>
      <c r="U130" s="347"/>
      <c r="V130" s="347"/>
      <c r="W130" s="348"/>
    </row>
    <row r="131" spans="2:23">
      <c r="B131" s="65"/>
      <c r="C131" s="44"/>
      <c r="D131" s="44"/>
      <c r="E131" s="40"/>
      <c r="F131" s="40"/>
      <c r="G131" s="40"/>
      <c r="H131" s="40"/>
      <c r="I131" s="51"/>
      <c r="J131" s="40"/>
      <c r="K131" s="40"/>
      <c r="L131" s="40"/>
      <c r="M131" s="40"/>
      <c r="N131" s="40"/>
      <c r="O131" s="40"/>
      <c r="P131" s="40"/>
      <c r="Q131" s="68"/>
      <c r="R131" s="150"/>
      <c r="S131" s="346"/>
      <c r="T131" s="347"/>
      <c r="U131" s="347"/>
      <c r="V131" s="347"/>
      <c r="W131" s="348"/>
    </row>
    <row r="132" spans="2:23" ht="15.75" customHeight="1">
      <c r="B132" s="65"/>
      <c r="C132" s="44"/>
      <c r="D132" s="44"/>
      <c r="E132" s="40"/>
      <c r="F132" s="345" t="str">
        <f>IF(K8&gt;Annexes!Q24,"",IF(K8&gt;=Annexes!O20,"CA moyen sur un mois :",""))</f>
        <v/>
      </c>
      <c r="G132" s="345"/>
      <c r="H132" s="345"/>
      <c r="I132" s="51" t="str">
        <f>IF(K8&gt;Annexes!Q24,"",IF(K8&gt;Annexes!Q22,M130*360/(Annexes!Q26-K8+1)/12,IF(K8&gt;=Annexes!Q18,M130*360/123/12,IF(K8&gt;=Annexes!Q16,M130*29/(Annexes!Q17-K8+1),IF(K8&gt;=Annexes!O20,M130*360/(Annexes!Q17-K8+1)/12,"")))))</f>
        <v/>
      </c>
      <c r="J132" s="40"/>
      <c r="K132" s="40"/>
      <c r="L132" s="40"/>
      <c r="M132" s="40"/>
      <c r="N132" s="40"/>
      <c r="O132" s="40"/>
      <c r="P132" s="40"/>
      <c r="Q132" s="68"/>
      <c r="R132" s="150"/>
      <c r="S132" s="346"/>
      <c r="T132" s="347"/>
      <c r="U132" s="347"/>
      <c r="V132" s="347"/>
      <c r="W132" s="348"/>
    </row>
    <row r="133" spans="2:23" ht="15.75" customHeight="1">
      <c r="B133" s="65"/>
      <c r="C133" s="44"/>
      <c r="D133" s="44"/>
      <c r="E133" s="64"/>
      <c r="F133" s="64"/>
      <c r="G133" s="64"/>
      <c r="H133" s="64"/>
      <c r="I133" s="182"/>
      <c r="J133" s="64"/>
      <c r="K133" s="64"/>
      <c r="L133" s="64"/>
      <c r="M133" s="64"/>
      <c r="N133" s="40"/>
      <c r="O133" s="40"/>
      <c r="P133" s="40"/>
      <c r="Q133" s="68"/>
      <c r="R133" s="150"/>
      <c r="S133" s="346"/>
      <c r="T133" s="347"/>
      <c r="U133" s="347"/>
      <c r="V133" s="347"/>
      <c r="W133" s="348"/>
    </row>
    <row r="134" spans="2:23">
      <c r="B134" s="65"/>
      <c r="C134" s="44"/>
      <c r="D134" s="44"/>
      <c r="E134" s="40"/>
      <c r="F134" s="40"/>
      <c r="G134" s="40"/>
      <c r="H134" s="40"/>
      <c r="I134" s="51"/>
      <c r="J134" s="40"/>
      <c r="K134" s="40"/>
      <c r="L134" s="40"/>
      <c r="M134" s="40"/>
      <c r="N134" s="40"/>
      <c r="O134" s="40"/>
      <c r="P134" s="40"/>
      <c r="Q134" s="68"/>
      <c r="R134" s="150"/>
      <c r="S134" s="346"/>
      <c r="T134" s="347"/>
      <c r="U134" s="347"/>
      <c r="V134" s="347"/>
      <c r="W134" s="348"/>
    </row>
    <row r="135" spans="2:23">
      <c r="B135" s="65"/>
      <c r="C135" s="44"/>
      <c r="D135" s="44"/>
      <c r="E135" s="351" t="str">
        <f>IF(K8&gt;Annexes!Q24,"",(IF(K8&gt;=Annexes!O20,"Aides pour Septembre, Octobre et Novembre 2020 :","")))</f>
        <v/>
      </c>
      <c r="F135" s="351"/>
      <c r="G135" s="351"/>
      <c r="H135" s="351"/>
      <c r="I135" s="351"/>
      <c r="J135" s="351"/>
      <c r="K135" s="183"/>
      <c r="L135" s="183"/>
      <c r="M135" s="183"/>
      <c r="N135" s="40"/>
      <c r="O135" s="40"/>
      <c r="P135" s="40"/>
      <c r="Q135" s="68"/>
      <c r="R135" s="150"/>
      <c r="S135" s="346"/>
      <c r="T135" s="347"/>
      <c r="U135" s="347"/>
      <c r="V135" s="347"/>
      <c r="W135" s="348"/>
    </row>
    <row r="136" spans="2:23" ht="15.75" customHeight="1" thickBot="1">
      <c r="B136" s="65"/>
      <c r="C136" s="44"/>
      <c r="D136" s="44"/>
      <c r="E136" s="427" t="str">
        <f>IF(K8&gt;Annexes!Q24,"",IF(K8&gt;Annexes!Q22,"Entreprise créée entre le 1er Juillet et le 30 Septembre 2020 :",IF(K8&gt;=Annexes!Q18,"Entreprise créée entre le 1er Mars le 1er Juillet 2020 :",IF(K8&gt;=Annexes!Q16,"Entreprise créée entre le 1er février 2020 et le 29 février 2020 :",IF(K8&gt;=Annexes!O20,"Entreprise créée entre le 1er Juin 2019 et le 31 Janvier 2020 :","")))))</f>
        <v/>
      </c>
      <c r="F136" s="427"/>
      <c r="G136" s="427"/>
      <c r="H136" s="427"/>
      <c r="I136" s="427"/>
      <c r="J136" s="427"/>
      <c r="K136" s="183"/>
      <c r="L136" s="183"/>
      <c r="M136" s="183"/>
      <c r="N136" s="40"/>
      <c r="O136" s="40"/>
      <c r="P136" s="40"/>
      <c r="Q136" s="68"/>
      <c r="R136" s="152"/>
      <c r="S136" s="346"/>
      <c r="T136" s="347"/>
      <c r="U136" s="347"/>
      <c r="V136" s="347"/>
      <c r="W136" s="348"/>
    </row>
    <row r="137" spans="2:23" ht="15.75" thickBot="1">
      <c r="B137" s="65"/>
      <c r="C137" s="44"/>
      <c r="D137" s="44"/>
      <c r="E137" s="365" t="str">
        <f>IF(K8&gt;Annexes!Q24,"",IF(K8&gt;Annexes!Q22,"- Chiffre d'affaires entre la création et le 30 Septembre 2020 :",IF(K8&gt;=Annexes!Q18,"- Chiffre d'affaires entre le 1er Juillet et le 30 Septembre 2020 :",IF(K8&gt;=Annexes!Q16,"- Chiffre d'affaires du mois de février 2020 :",IF(K8&gt;=Annexes!O20,"- Chiffre d'affaires entre la création et le 29 février 2020 :","")))))</f>
        <v/>
      </c>
      <c r="F137" s="365"/>
      <c r="G137" s="365"/>
      <c r="H137" s="365"/>
      <c r="I137" s="365"/>
      <c r="J137" s="365"/>
      <c r="K137" s="184"/>
      <c r="L137" s="184"/>
      <c r="M137" s="114">
        <v>0</v>
      </c>
      <c r="N137" s="90"/>
      <c r="O137" s="40"/>
      <c r="P137" s="40"/>
      <c r="Q137" s="72"/>
      <c r="R137" s="152"/>
      <c r="S137" s="346"/>
      <c r="T137" s="347"/>
      <c r="U137" s="347"/>
      <c r="V137" s="347"/>
      <c r="W137" s="348"/>
    </row>
    <row r="138" spans="2:23">
      <c r="B138" s="65"/>
      <c r="C138" s="44"/>
      <c r="D138" s="44"/>
      <c r="E138" s="44"/>
      <c r="F138" s="44"/>
      <c r="G138" s="44"/>
      <c r="H138" s="44"/>
      <c r="I138" s="51"/>
      <c r="J138" s="44"/>
      <c r="K138" s="44"/>
      <c r="L138" s="44"/>
      <c r="M138" s="44"/>
      <c r="N138" s="40"/>
      <c r="O138" s="40"/>
      <c r="P138" s="54"/>
      <c r="Q138" s="72"/>
      <c r="R138" s="152"/>
      <c r="S138" s="346"/>
      <c r="T138" s="347"/>
      <c r="U138" s="347"/>
      <c r="V138" s="347"/>
      <c r="W138" s="348"/>
    </row>
    <row r="139" spans="2:23">
      <c r="B139" s="65"/>
      <c r="C139" s="44"/>
      <c r="D139" s="44"/>
      <c r="E139" s="44"/>
      <c r="F139" s="372" t="str">
        <f>IF(K8&gt;Annexes!Q24,"",IF(K8&gt;=Annexes!O20,"CA moyen sur un mois :",""))</f>
        <v/>
      </c>
      <c r="G139" s="372"/>
      <c r="H139" s="372"/>
      <c r="I139" s="186" t="str">
        <f>IF(K8&gt;Annexes!Q24,"",IF(K8&gt;Annexes!Q22,M137*360/(Annexes!Q24-K8+1)/12,IF(K8&gt;=Annexes!Q18,M137*360/92/12,IF(K8&gt;=Annexes!Q16,M137*29/(Annexes!Q17-K8+1),IF(K8&gt;=Annexes!O20,M137*360/(Annexes!Q17-K8+1)/12,"")))))</f>
        <v/>
      </c>
      <c r="J139" s="44"/>
      <c r="K139" s="44"/>
      <c r="L139" s="44"/>
      <c r="M139" s="44"/>
      <c r="N139" s="40"/>
      <c r="O139" s="40"/>
      <c r="P139" s="54"/>
      <c r="Q139" s="72"/>
      <c r="R139" s="152"/>
      <c r="S139" s="346"/>
      <c r="T139" s="347"/>
      <c r="U139" s="347"/>
      <c r="V139" s="347"/>
      <c r="W139" s="348"/>
    </row>
    <row r="140" spans="2:23">
      <c r="B140" s="65"/>
      <c r="C140" s="44"/>
      <c r="D140" s="44"/>
      <c r="E140" s="44"/>
      <c r="F140" s="372" t="str">
        <f>IF(AND(Annexes!M9=TRUE,Annexes!M4&gt;1),IF(AND(K8&lt;=Annexes!Q23,K8&gt;=Annexes!O20),"Soit sur "&amp;Annexes!M4-1&amp;" Jour(s) (Septembre) :",""),"")</f>
        <v/>
      </c>
      <c r="G140" s="372"/>
      <c r="H140" s="372"/>
      <c r="I140" s="51" t="str">
        <f>IF(AND(Annexes!M9=TRUE,Annexes!M4&gt;1),IF(AND(K8&lt;=Annexes!Q23,K8&gt;=Annexes!O20),I139/30*(Annexes!M4-1),""),"")</f>
        <v/>
      </c>
      <c r="J140" s="44"/>
      <c r="K140" s="44"/>
      <c r="L140" s="44"/>
      <c r="M140" s="44"/>
      <c r="N140" s="40"/>
      <c r="O140" s="40"/>
      <c r="P140" s="51"/>
      <c r="Q140" s="72"/>
      <c r="R140" s="153"/>
      <c r="S140" s="346"/>
      <c r="T140" s="347"/>
      <c r="U140" s="347"/>
      <c r="V140" s="347"/>
      <c r="W140" s="348"/>
    </row>
    <row r="141" spans="2:23">
      <c r="B141" s="71"/>
      <c r="C141" s="44"/>
      <c r="D141" s="44"/>
      <c r="E141" s="44"/>
      <c r="F141" s="372" t="str">
        <f>IF(AND(Annexes!M9=TRUE,Annexes!M6&gt;1),IF(AND(K8&lt;=Annexes!Q23,K8&gt;=Annexes!O20),"Soit sur "&amp;Annexes!M6-1&amp;" Jour(s) (Octobre):",""),"")</f>
        <v/>
      </c>
      <c r="G141" s="372"/>
      <c r="H141" s="372"/>
      <c r="I141" s="51" t="str">
        <f>IF(AND(Annexes!M9=TRUE,Annexes!M6&gt;1),IF(AND(K8&lt;=Annexes!Q23,K8&gt;=Annexes!O20),I139/30*(Annexes!M6-1),""),"")</f>
        <v/>
      </c>
      <c r="J141" s="44"/>
      <c r="K141" s="44"/>
      <c r="L141" s="44"/>
      <c r="M141" s="44"/>
      <c r="N141" s="40"/>
      <c r="O141" s="40"/>
      <c r="P141" s="40"/>
      <c r="Q141" s="73"/>
      <c r="R141" s="154"/>
      <c r="S141" s="368"/>
      <c r="T141" s="369"/>
      <c r="U141" s="369"/>
      <c r="V141" s="369"/>
      <c r="W141" s="370"/>
    </row>
    <row r="142" spans="2:23">
      <c r="B142" s="65"/>
      <c r="C142" s="55"/>
      <c r="D142" s="55"/>
      <c r="E142" s="64"/>
      <c r="F142" s="187"/>
      <c r="G142" s="187"/>
      <c r="H142" s="187"/>
      <c r="I142" s="182"/>
      <c r="J142" s="64"/>
      <c r="K142" s="64"/>
      <c r="L142" s="64"/>
      <c r="M142" s="64"/>
      <c r="N142" s="40"/>
      <c r="O142" s="40"/>
      <c r="P142" s="44"/>
      <c r="Q142" s="68"/>
      <c r="R142" s="150"/>
      <c r="S142" s="368"/>
      <c r="T142" s="369"/>
      <c r="U142" s="369"/>
      <c r="V142" s="369"/>
      <c r="W142" s="370"/>
    </row>
    <row r="143" spans="2:23" ht="15" customHeight="1">
      <c r="B143" s="65"/>
      <c r="C143" s="44"/>
      <c r="D143" s="44"/>
      <c r="E143" s="44"/>
      <c r="F143" s="44"/>
      <c r="G143" s="44"/>
      <c r="H143" s="44"/>
      <c r="I143" s="51"/>
      <c r="J143" s="44"/>
      <c r="K143" s="44"/>
      <c r="L143" s="44"/>
      <c r="M143" s="44"/>
      <c r="N143" s="44"/>
      <c r="O143" s="40"/>
      <c r="P143" s="40"/>
      <c r="Q143" s="68"/>
      <c r="R143" s="155"/>
      <c r="S143" s="346"/>
      <c r="T143" s="347"/>
      <c r="U143" s="347"/>
      <c r="V143" s="347"/>
      <c r="W143" s="348"/>
    </row>
    <row r="144" spans="2:23" ht="15" customHeight="1">
      <c r="B144" s="65"/>
      <c r="C144" s="44"/>
      <c r="D144" s="44"/>
      <c r="E144" s="371" t="str">
        <f>IF(AND(Annexes!M9=TRUE,Annexes!M4&gt;1),IF(AND(K8&lt;=Annexes!Q23,K8&gt;=Annexes!Q18),"Aide pour Septembre 2020 :",""),"")</f>
        <v/>
      </c>
      <c r="F144" s="371"/>
      <c r="G144" s="371"/>
      <c r="H144" s="188"/>
      <c r="I144" s="44"/>
      <c r="J144" s="44"/>
      <c r="K144" s="44"/>
      <c r="L144" s="44"/>
      <c r="M144" s="44"/>
      <c r="N144" s="40"/>
      <c r="O144" s="40"/>
      <c r="P144" s="40"/>
      <c r="Q144" s="74"/>
      <c r="R144" s="155"/>
      <c r="S144" s="346"/>
      <c r="T144" s="347"/>
      <c r="U144" s="347"/>
      <c r="V144" s="347"/>
      <c r="W144" s="348"/>
    </row>
    <row r="145" spans="2:23" ht="15.75" thickBot="1">
      <c r="B145" s="65"/>
      <c r="C145" s="44"/>
      <c r="D145" s="44"/>
      <c r="E145" s="429" t="str">
        <f>IF(AND(Annexes!M9=TRUE,Annexes!M4&gt;1),IF(AND(K8&lt;=Annexes!Q23,K8&gt;=Annexes!Q18),"Entreprise créée entre le 1er Mars et le 31 Août 2020",""),"")</f>
        <v/>
      </c>
      <c r="F145" s="429"/>
      <c r="G145" s="429"/>
      <c r="H145" s="429"/>
      <c r="I145" s="429"/>
      <c r="J145" s="429"/>
      <c r="K145" s="429"/>
      <c r="L145" s="429"/>
      <c r="M145" s="429"/>
      <c r="N145" s="44"/>
      <c r="O145" s="40"/>
      <c r="P145" s="40"/>
      <c r="Q145" s="74"/>
      <c r="R145" s="150"/>
      <c r="S145" s="346"/>
      <c r="T145" s="347"/>
      <c r="U145" s="347"/>
      <c r="V145" s="347"/>
      <c r="W145" s="348"/>
    </row>
    <row r="146" spans="2:23" ht="15.75" thickBot="1">
      <c r="B146" s="1"/>
      <c r="C146" s="185"/>
      <c r="D146" s="44"/>
      <c r="E146" s="427" t="str">
        <f>IF(AND(Annexes!M9=TRUE,Annexes!M4&gt;1),IF(AND(K8&lt;=Annexes!Q23,K8&gt;=Annexes!Q18),"- Chiffre d'affaires entre la création et le 31 Août 2020 :",""),"")</f>
        <v/>
      </c>
      <c r="F146" s="427"/>
      <c r="G146" s="427"/>
      <c r="H146" s="427"/>
      <c r="I146" s="427"/>
      <c r="J146" s="427"/>
      <c r="K146" s="427"/>
      <c r="L146" s="427"/>
      <c r="M146" s="114">
        <v>0</v>
      </c>
      <c r="N146" s="90"/>
      <c r="O146" s="40"/>
      <c r="P146" s="44"/>
      <c r="Q146" s="68"/>
      <c r="R146" s="1"/>
      <c r="S146" s="346"/>
      <c r="T146" s="347"/>
      <c r="U146" s="347"/>
      <c r="V146" s="347"/>
      <c r="W146" s="348"/>
    </row>
    <row r="147" spans="2:23">
      <c r="B147" s="1"/>
      <c r="C147" s="185"/>
      <c r="D147" s="1"/>
      <c r="E147" s="44"/>
      <c r="F147" s="44"/>
      <c r="G147" s="44"/>
      <c r="H147" s="44"/>
      <c r="I147" s="44"/>
      <c r="J147" s="44"/>
      <c r="K147" s="44"/>
      <c r="L147" s="44"/>
      <c r="M147" s="44"/>
      <c r="N147" s="40"/>
      <c r="O147" s="40"/>
      <c r="P147" s="1"/>
      <c r="Q147" s="68"/>
      <c r="R147" s="1"/>
      <c r="S147" s="346"/>
      <c r="T147" s="347"/>
      <c r="U147" s="347"/>
      <c r="V147" s="347"/>
      <c r="W147" s="348"/>
    </row>
    <row r="148" spans="2:23">
      <c r="B148" s="8"/>
      <c r="C148" s="185"/>
      <c r="D148" s="1"/>
      <c r="E148" s="44"/>
      <c r="F148" s="372" t="str">
        <f>IF(AND(Annexes!M9=TRUE,Annexes!M4&gt;1),IF(AND(K8&lt;=Annexes!Q23,K8&gt;=Annexes!Q18),"Soit sur "&amp;Annexes!M4-1&amp;" Jour(s) :",""),"")</f>
        <v/>
      </c>
      <c r="G148" s="372"/>
      <c r="H148" s="372"/>
      <c r="I148" s="51" t="str">
        <f>IF(AND(Annexes!M9=TRUE,Annexes!M4&gt;1),IF(AND(K8&lt;=Annexes!Q23,K8&gt;=Annexes!Q18),M146*(Annexes!M4-1)/(Annexes!Q23-K8+1),""),"")</f>
        <v/>
      </c>
      <c r="J148" s="44"/>
      <c r="K148" s="44"/>
      <c r="L148" s="44"/>
      <c r="M148" s="44"/>
      <c r="N148" s="40"/>
      <c r="O148" s="40"/>
      <c r="P148" s="1"/>
      <c r="Q148" s="68"/>
      <c r="R148" s="1"/>
      <c r="S148" s="346"/>
      <c r="T148" s="347"/>
      <c r="U148" s="347"/>
      <c r="V148" s="347"/>
      <c r="W148" s="348"/>
    </row>
    <row r="149" spans="2:23">
      <c r="B149" s="1"/>
      <c r="C149" s="185"/>
      <c r="D149" s="8"/>
      <c r="E149" s="64"/>
      <c r="F149" s="187"/>
      <c r="G149" s="187"/>
      <c r="H149" s="187"/>
      <c r="I149" s="182"/>
      <c r="J149" s="64"/>
      <c r="K149" s="64"/>
      <c r="L149" s="64"/>
      <c r="M149" s="64"/>
      <c r="N149" s="40"/>
      <c r="O149" s="44"/>
      <c r="P149" s="1"/>
      <c r="Q149" s="68"/>
      <c r="R149" s="1"/>
      <c r="S149" s="346"/>
      <c r="T149" s="347"/>
      <c r="U149" s="347"/>
      <c r="V149" s="347"/>
      <c r="W149" s="348"/>
    </row>
    <row r="150" spans="2:23" ht="15.75" thickBot="1">
      <c r="B150" s="1"/>
      <c r="C150" s="185"/>
      <c r="D150" s="1"/>
      <c r="E150" s="44"/>
      <c r="F150" s="44"/>
      <c r="G150" s="44"/>
      <c r="H150" s="44"/>
      <c r="I150" s="44"/>
      <c r="J150" s="44"/>
      <c r="K150" s="44"/>
      <c r="L150" s="44"/>
      <c r="M150" s="44"/>
      <c r="N150" s="44"/>
      <c r="O150" s="40"/>
      <c r="P150" s="1"/>
      <c r="Q150" s="68"/>
      <c r="R150" s="1"/>
      <c r="S150" s="346"/>
      <c r="T150" s="347"/>
      <c r="U150" s="347"/>
      <c r="V150" s="347"/>
      <c r="W150" s="348"/>
    </row>
    <row r="151" spans="2:23" ht="15.75" thickBot="1">
      <c r="B151" s="1"/>
      <c r="C151" s="185"/>
      <c r="D151" s="1"/>
      <c r="E151" s="365" t="str">
        <f>IF(AND(K8&gt;=Annexes!O17,K8&lt;=Annexes!Q19),IF(OR(Annexes!M17=TRUE,AND(Annexes!F7&gt;1,Annexes!F7&lt;=Annexes!H8)),"- Chiffre d'affaires de la création au 15/03/2020 :","Case réservée aux activités mentionnées en annexe 2 (S1 bis) ou 3"),"")</f>
        <v/>
      </c>
      <c r="F151" s="365"/>
      <c r="G151" s="365"/>
      <c r="H151" s="365"/>
      <c r="I151" s="365"/>
      <c r="J151" s="365"/>
      <c r="K151" s="44"/>
      <c r="L151" s="44"/>
      <c r="M151" s="114">
        <v>0</v>
      </c>
      <c r="N151" s="90"/>
      <c r="O151" s="40"/>
      <c r="P151" s="1"/>
      <c r="Q151" s="68"/>
      <c r="R151" s="1"/>
      <c r="S151" s="346"/>
      <c r="T151" s="347"/>
      <c r="U151" s="347"/>
      <c r="V151" s="347"/>
      <c r="W151" s="348"/>
    </row>
    <row r="152" spans="2:23">
      <c r="B152" s="1"/>
      <c r="C152" s="185"/>
      <c r="D152" s="1"/>
      <c r="E152" s="55"/>
      <c r="F152" s="44"/>
      <c r="G152" s="44"/>
      <c r="H152" s="44"/>
      <c r="I152" s="44"/>
      <c r="J152" s="44"/>
      <c r="K152" s="44"/>
      <c r="L152" s="44"/>
      <c r="M152" s="44"/>
      <c r="N152" s="40"/>
      <c r="O152" s="40"/>
      <c r="P152" s="1"/>
      <c r="Q152" s="68"/>
      <c r="R152" s="1"/>
      <c r="S152" s="346"/>
      <c r="T152" s="347"/>
      <c r="U152" s="347"/>
      <c r="V152" s="347"/>
      <c r="W152" s="348"/>
    </row>
    <row r="153" spans="2:23">
      <c r="B153" s="1"/>
      <c r="C153" s="185"/>
      <c r="D153" s="1"/>
      <c r="E153" s="44"/>
      <c r="F153" s="366" t="str">
        <f>IF(AND(K8&gt;=Annexes!O17,K8&lt;=Annexes!Q19),IF(OR(Annexes!M17=TRUE,AND(Annexes!F7&gt;1,Annexes!F7&lt;=Annexes!H8)),"CA moyen sur deux mois :",""),"")</f>
        <v/>
      </c>
      <c r="G153" s="366"/>
      <c r="H153" s="366"/>
      <c r="I153" s="51" t="str">
        <f>IFERROR(IF(AND(K8&gt;=Annexes!O17,K8&lt;=Annexes!Q19),IF(OR(Annexes!M17=TRUE,AND(Annexes!F7&gt;1,Annexes!F7&lt;=Annexes!H8)),M151*360/(Annexes!Q20-K8+1)/6,""),""),0)</f>
        <v/>
      </c>
      <c r="J153" s="44"/>
      <c r="K153" s="44"/>
      <c r="L153" s="44"/>
      <c r="M153" s="44"/>
      <c r="N153" s="40"/>
      <c r="O153" s="44"/>
      <c r="P153" s="1"/>
      <c r="Q153" s="68"/>
      <c r="R153" s="1"/>
      <c r="S153" s="346"/>
      <c r="T153" s="347"/>
      <c r="U153" s="347"/>
      <c r="V153" s="347"/>
      <c r="W153" s="348"/>
    </row>
    <row r="154" spans="2:23" ht="15.75" thickBot="1">
      <c r="B154" s="1"/>
      <c r="C154" s="185"/>
      <c r="D154" s="1"/>
      <c r="E154" s="1"/>
      <c r="F154" s="1"/>
      <c r="G154" s="1"/>
      <c r="H154" s="1"/>
      <c r="I154" s="1"/>
      <c r="J154" s="1"/>
      <c r="K154" s="1"/>
      <c r="L154" s="1"/>
      <c r="M154" s="1"/>
      <c r="N154" s="1"/>
      <c r="O154" s="1"/>
      <c r="P154" s="1"/>
      <c r="Q154" s="68"/>
      <c r="R154" s="1"/>
      <c r="S154" s="346"/>
      <c r="T154" s="347"/>
      <c r="U154" s="347"/>
      <c r="V154" s="347"/>
      <c r="W154" s="348"/>
    </row>
    <row r="155" spans="2:23" ht="15.75" thickBot="1">
      <c r="B155" s="1"/>
      <c r="C155" s="185"/>
      <c r="D155" s="1"/>
      <c r="E155" s="365" t="str">
        <f>IF(AND(K8&gt;=Annexes!Q14,K8&lt;=Annexes!Q27),IF(OR(Annexes!M17=TRUE,AND(Annexes!F7&gt;1,Annexes!F7&lt;=Annexes!H8)),"- Chiffre d'affaires de la création au 31/10/2020 :","Case réservée aux activités mentionnées en annexe 2 (S1 bis) ou 3"),"")</f>
        <v/>
      </c>
      <c r="F155" s="365"/>
      <c r="G155" s="365"/>
      <c r="H155" s="365"/>
      <c r="I155" s="365"/>
      <c r="J155" s="365"/>
      <c r="K155" s="44"/>
      <c r="L155" s="44"/>
      <c r="M155" s="114">
        <v>0</v>
      </c>
      <c r="N155" s="109"/>
      <c r="O155" s="1"/>
      <c r="P155" s="1"/>
      <c r="Q155" s="68"/>
      <c r="R155" s="1"/>
      <c r="S155" s="346"/>
      <c r="T155" s="347"/>
      <c r="U155" s="347"/>
      <c r="V155" s="347"/>
      <c r="W155" s="348"/>
    </row>
    <row r="156" spans="2:23">
      <c r="B156" s="1"/>
      <c r="C156" s="185"/>
      <c r="D156" s="1"/>
      <c r="E156" s="426" t="str">
        <f>IF(AND(K8&gt;=Annexes!Q14,K8&lt;=Annexes!Q27),IF(OR(Annexes!M17=TRUE,AND(Annexes!F7&gt;1,Annexes!F7&lt;=Annexes!H8)),"Au lieu du 30/11/2020, depuis le décret 2021-79 du 28 Janvier 2021",""),"")</f>
        <v/>
      </c>
      <c r="F156" s="426"/>
      <c r="G156" s="426"/>
      <c r="H156" s="426"/>
      <c r="I156" s="426"/>
      <c r="J156" s="426"/>
      <c r="K156" s="426"/>
      <c r="L156" s="44"/>
      <c r="M156" s="44"/>
      <c r="N156" s="1"/>
      <c r="O156" s="1"/>
      <c r="P156" s="1"/>
      <c r="Q156" s="68"/>
      <c r="R156" s="1"/>
      <c r="S156" s="346"/>
      <c r="T156" s="347"/>
      <c r="U156" s="347"/>
      <c r="V156" s="347"/>
      <c r="W156" s="348"/>
    </row>
    <row r="157" spans="2:23">
      <c r="B157" s="1"/>
      <c r="C157" s="185"/>
      <c r="D157" s="1"/>
      <c r="E157" s="44"/>
      <c r="F157" s="366" t="str">
        <f>IF(AND(K8&gt;=Annexes!Q14,K8&lt;=Annexes!Q26),IF(OR(Annexes!M17=TRUE,AND(Annexes!F7&gt;1,Annexes!F7&lt;=Annexes!H8)),"CA moyen sur un mois :",""),"")</f>
        <v/>
      </c>
      <c r="G157" s="366"/>
      <c r="H157" s="366"/>
      <c r="I157" s="51" t="str">
        <f>IFERROR(IF(AND(K8&gt;=Annexes!Q14,K8&lt;=Annexes!Q26),IF(OR(Annexes!M17=TRUE,AND(Annexes!F7&gt;1,Annexes!F7&lt;=Annexes!H8)),M155*360/(Annexes!Q26-K8+1)/12,""),""),0)</f>
        <v/>
      </c>
      <c r="J157" s="44"/>
      <c r="K157" s="44"/>
      <c r="L157" s="44"/>
      <c r="M157" s="44"/>
      <c r="N157" s="1"/>
      <c r="O157" s="1"/>
      <c r="P157" s="1"/>
      <c r="Q157" s="68"/>
      <c r="R157" s="1"/>
      <c r="S157" s="346"/>
      <c r="T157" s="347"/>
      <c r="U157" s="347"/>
      <c r="V157" s="347"/>
      <c r="W157" s="348"/>
    </row>
    <row r="158" spans="2:23">
      <c r="B158" s="1"/>
      <c r="C158" s="185"/>
      <c r="D158" s="1"/>
      <c r="E158" s="55" t="str">
        <f>IF(AND(K8&gt;=Annexes!Q25,K8&lt;=Annexes!Q26),IF(OR(Annexes!M17=TRUE,AND(Annexes!F7&gt;1,Annexes!F7&lt;=Annexes!H8)),"Pour les créations après le 1er Octobre, merci de bien compléter le CA de Décembre 2020",""),"")</f>
        <v/>
      </c>
      <c r="F158" s="1"/>
      <c r="G158" s="1"/>
      <c r="H158" s="1"/>
      <c r="I158" s="1"/>
      <c r="J158" s="1"/>
      <c r="K158" s="1"/>
      <c r="L158" s="1"/>
      <c r="M158" s="1"/>
      <c r="N158" s="1"/>
      <c r="O158" s="1"/>
      <c r="P158" s="1"/>
      <c r="Q158" s="68"/>
      <c r="R158" s="1"/>
      <c r="S158" s="346"/>
      <c r="T158" s="347"/>
      <c r="U158" s="347"/>
      <c r="V158" s="347"/>
      <c r="W158" s="348"/>
    </row>
    <row r="159" spans="2:23">
      <c r="B159" s="1"/>
      <c r="C159" s="66"/>
      <c r="D159" s="78"/>
      <c r="E159" s="78"/>
      <c r="F159" s="78"/>
      <c r="G159" s="78"/>
      <c r="H159" s="78"/>
      <c r="I159" s="78"/>
      <c r="J159" s="78"/>
      <c r="K159" s="78"/>
      <c r="L159" s="78"/>
      <c r="M159" s="78"/>
      <c r="N159" s="78"/>
      <c r="O159" s="78"/>
      <c r="P159" s="78"/>
      <c r="Q159" s="75"/>
      <c r="R159" s="1"/>
      <c r="S159" s="430"/>
      <c r="T159" s="431"/>
      <c r="U159" s="431"/>
      <c r="V159" s="431"/>
      <c r="W159" s="432"/>
    </row>
    <row r="160" spans="2:23">
      <c r="B160" s="1"/>
      <c r="C160" s="1"/>
      <c r="D160" s="1"/>
      <c r="E160" s="1"/>
      <c r="F160" s="1"/>
      <c r="G160" s="1"/>
      <c r="H160" s="1"/>
      <c r="I160" s="1"/>
      <c r="J160" s="1"/>
      <c r="K160" s="1"/>
      <c r="L160" s="1"/>
      <c r="M160" s="1"/>
      <c r="N160" s="1"/>
      <c r="O160" s="1"/>
      <c r="P160" s="1"/>
      <c r="Q160" s="1"/>
      <c r="R160" s="1"/>
    </row>
    <row r="161" spans="2:21">
      <c r="B161" s="1"/>
      <c r="C161" s="1"/>
      <c r="D161" s="1"/>
      <c r="E161" s="1"/>
      <c r="F161" s="1"/>
      <c r="G161" s="1"/>
      <c r="H161" s="1"/>
      <c r="I161" s="1"/>
      <c r="J161" s="1"/>
      <c r="K161" s="1"/>
      <c r="L161" s="1"/>
      <c r="M161" s="1"/>
      <c r="N161" s="1"/>
      <c r="O161" s="1"/>
      <c r="P161" s="1"/>
      <c r="Q161" s="1"/>
      <c r="R161" s="1"/>
    </row>
    <row r="162" spans="2:21">
      <c r="B162" s="1"/>
      <c r="C162" s="1"/>
      <c r="D162" s="1"/>
      <c r="E162" s="1"/>
      <c r="F162" s="1"/>
      <c r="G162" s="1"/>
      <c r="H162" s="1"/>
      <c r="I162" s="1"/>
      <c r="J162" s="1"/>
      <c r="K162" s="1"/>
      <c r="L162" s="1"/>
      <c r="M162" s="1"/>
      <c r="N162" s="1"/>
      <c r="O162" s="1"/>
      <c r="P162" s="1"/>
      <c r="Q162" s="1"/>
      <c r="R162" s="1"/>
    </row>
    <row r="163" spans="2:21">
      <c r="B163" s="1"/>
      <c r="C163" s="1"/>
      <c r="D163" s="1"/>
      <c r="E163" s="1"/>
      <c r="F163" s="1"/>
      <c r="G163" s="1"/>
      <c r="H163" s="1"/>
      <c r="I163" s="1"/>
      <c r="J163" s="1"/>
      <c r="K163" s="1"/>
      <c r="L163" s="1"/>
      <c r="M163" s="1"/>
      <c r="N163" s="1"/>
      <c r="O163" s="1"/>
      <c r="P163" s="1"/>
      <c r="Q163" s="1"/>
      <c r="R163" s="1"/>
    </row>
    <row r="164" spans="2:21">
      <c r="B164" s="1"/>
      <c r="C164" s="1"/>
      <c r="D164" s="1"/>
      <c r="E164" s="1"/>
      <c r="F164" s="1"/>
      <c r="G164" s="1"/>
      <c r="H164" s="1"/>
      <c r="I164" s="1"/>
      <c r="J164" s="1"/>
      <c r="K164" s="1"/>
      <c r="L164" s="1"/>
      <c r="M164" s="1"/>
      <c r="N164" s="1"/>
      <c r="O164" s="1"/>
      <c r="P164" s="1"/>
      <c r="Q164" s="1"/>
      <c r="R164" s="1"/>
    </row>
    <row r="165" spans="2:21">
      <c r="B165" s="1"/>
      <c r="C165" s="1"/>
      <c r="D165" s="1"/>
      <c r="E165" s="1"/>
      <c r="F165" s="1"/>
      <c r="G165" s="1"/>
      <c r="H165" s="1"/>
      <c r="I165" s="1"/>
      <c r="J165" s="1"/>
      <c r="K165" s="1"/>
      <c r="L165" s="1"/>
      <c r="M165" s="1"/>
      <c r="N165" s="1"/>
      <c r="O165" s="1"/>
      <c r="P165" s="1"/>
      <c r="Q165" s="1"/>
      <c r="R165" s="1"/>
    </row>
    <row r="166" spans="2:21">
      <c r="B166" s="1"/>
      <c r="C166" s="1"/>
      <c r="D166" s="1"/>
      <c r="E166" s="1"/>
      <c r="F166" s="1"/>
      <c r="G166" s="1"/>
      <c r="H166" s="1"/>
      <c r="I166" s="1"/>
      <c r="J166" s="1"/>
      <c r="K166" s="1"/>
      <c r="L166" s="1"/>
      <c r="M166" s="1"/>
      <c r="N166" s="1"/>
      <c r="O166" s="1"/>
      <c r="P166" s="1"/>
      <c r="Q166" s="1"/>
      <c r="R166" s="1"/>
    </row>
    <row r="167" spans="2:21">
      <c r="B167" s="1"/>
      <c r="C167" s="1"/>
      <c r="D167" s="1"/>
      <c r="E167" s="1"/>
      <c r="F167" s="1"/>
      <c r="G167" s="1"/>
      <c r="H167" s="1"/>
      <c r="I167" s="1"/>
      <c r="J167" s="1"/>
      <c r="K167" s="1"/>
      <c r="L167" s="1"/>
      <c r="M167" s="1"/>
      <c r="N167" s="1"/>
      <c r="O167" s="1"/>
      <c r="P167" s="1"/>
      <c r="Q167" s="1"/>
      <c r="R167" s="1"/>
    </row>
    <row r="168" spans="2:21">
      <c r="B168" s="1"/>
      <c r="C168" s="1"/>
      <c r="D168" s="1"/>
      <c r="E168" s="1"/>
      <c r="F168" s="1"/>
      <c r="G168" s="1"/>
      <c r="H168" s="1"/>
      <c r="I168" s="1"/>
      <c r="J168" s="1"/>
      <c r="K168" s="1"/>
      <c r="L168" s="1"/>
      <c r="M168" s="1"/>
      <c r="N168" s="1"/>
      <c r="O168" s="1"/>
      <c r="P168" s="1"/>
      <c r="Q168" s="1"/>
      <c r="R168" s="1"/>
    </row>
    <row r="169" spans="2:21">
      <c r="B169" s="1"/>
      <c r="C169" s="1"/>
      <c r="D169" s="1"/>
      <c r="E169" s="1"/>
      <c r="F169" s="1"/>
      <c r="G169" s="1"/>
      <c r="H169" s="1"/>
      <c r="I169" s="1"/>
      <c r="J169" s="1"/>
      <c r="K169" s="1"/>
      <c r="L169" s="1"/>
      <c r="M169" s="1"/>
      <c r="N169" s="1"/>
      <c r="O169" s="1"/>
      <c r="P169" s="1"/>
      <c r="Q169" s="1"/>
      <c r="R169" s="1"/>
    </row>
    <row r="170" spans="2:21">
      <c r="B170" s="8"/>
      <c r="C170" s="1"/>
      <c r="D170" s="1"/>
      <c r="E170" s="1"/>
      <c r="F170" s="1"/>
      <c r="G170" s="1"/>
      <c r="H170" s="1"/>
      <c r="I170" s="1"/>
      <c r="J170" s="1"/>
      <c r="K170" s="1"/>
      <c r="L170" s="1"/>
      <c r="M170" s="1"/>
      <c r="N170" s="1"/>
      <c r="O170" s="1"/>
      <c r="P170" s="1"/>
      <c r="Q170" s="1"/>
      <c r="R170" s="1"/>
      <c r="S170" s="1"/>
      <c r="T170" s="1"/>
      <c r="U170" s="1"/>
    </row>
    <row r="171" spans="2:21">
      <c r="B171" s="1"/>
      <c r="C171" s="8"/>
      <c r="D171" s="8"/>
      <c r="E171" s="1"/>
      <c r="F171" s="1"/>
      <c r="G171" s="1"/>
      <c r="H171" s="1"/>
      <c r="I171" s="1"/>
      <c r="J171" s="1"/>
      <c r="K171" s="1"/>
      <c r="L171" s="1"/>
      <c r="M171" s="1"/>
      <c r="N171" s="1"/>
      <c r="O171" s="1"/>
      <c r="P171" s="1"/>
      <c r="Q171" s="1"/>
      <c r="R171" s="1"/>
      <c r="S171" s="1"/>
      <c r="T171" s="1"/>
      <c r="U171" s="1"/>
    </row>
    <row r="172" spans="2:21">
      <c r="B172" s="1"/>
      <c r="C172" s="1"/>
      <c r="D172" s="1"/>
      <c r="E172" s="1"/>
      <c r="F172" s="1"/>
      <c r="G172" s="1"/>
      <c r="H172" s="1"/>
      <c r="I172" s="1"/>
      <c r="J172" s="1"/>
      <c r="K172" s="1"/>
      <c r="L172" s="1"/>
      <c r="M172" s="1"/>
      <c r="N172" s="1"/>
      <c r="O172" s="1"/>
      <c r="P172" s="1"/>
      <c r="Q172" s="1"/>
      <c r="R172" s="1"/>
      <c r="S172" s="1"/>
      <c r="T172" s="1"/>
      <c r="U172" s="1"/>
    </row>
    <row r="173" spans="2:21">
      <c r="B173" s="1"/>
      <c r="C173" s="1"/>
      <c r="D173" s="1"/>
      <c r="E173" s="1"/>
      <c r="F173" s="1"/>
      <c r="G173" s="1"/>
      <c r="H173" s="1"/>
      <c r="I173" s="1"/>
      <c r="J173" s="1"/>
      <c r="K173" s="1"/>
      <c r="L173" s="1"/>
      <c r="M173" s="1"/>
      <c r="N173" s="1"/>
      <c r="O173" s="1"/>
      <c r="P173" s="1"/>
      <c r="Q173" s="1"/>
      <c r="R173" s="1"/>
      <c r="S173" s="1"/>
      <c r="T173" s="1"/>
      <c r="U173" s="1"/>
    </row>
    <row r="174" spans="2:21">
      <c r="B174" s="1"/>
      <c r="C174" s="1"/>
      <c r="D174" s="1"/>
      <c r="E174" s="1"/>
      <c r="F174" s="1"/>
      <c r="G174" s="1"/>
      <c r="H174" s="1"/>
      <c r="I174" s="1"/>
      <c r="J174" s="1"/>
      <c r="K174" s="1"/>
      <c r="L174" s="1"/>
      <c r="M174" s="1"/>
      <c r="N174" s="1"/>
      <c r="O174" s="1"/>
      <c r="P174" s="1"/>
      <c r="Q174" s="1"/>
      <c r="R174" s="1"/>
      <c r="S174" s="1"/>
      <c r="T174" s="1"/>
      <c r="U174" s="1"/>
    </row>
    <row r="175" spans="2:21">
      <c r="B175" s="1"/>
      <c r="C175" s="1"/>
      <c r="D175" s="1"/>
      <c r="E175" s="1"/>
      <c r="F175" s="1"/>
      <c r="G175" s="1"/>
      <c r="H175" s="1"/>
      <c r="I175" s="1"/>
      <c r="J175" s="1"/>
      <c r="K175" s="1"/>
      <c r="L175" s="1"/>
      <c r="M175" s="1"/>
      <c r="N175" s="1"/>
      <c r="O175" s="1"/>
      <c r="P175" s="1"/>
      <c r="Q175" s="1"/>
      <c r="R175" s="1"/>
      <c r="S175" s="1"/>
      <c r="T175" s="1"/>
      <c r="U175" s="1"/>
    </row>
    <row r="176" spans="2:21">
      <c r="B176" s="1"/>
      <c r="C176" s="1"/>
      <c r="D176" s="1"/>
      <c r="E176" s="1"/>
      <c r="F176" s="1"/>
      <c r="G176" s="1"/>
      <c r="H176" s="1"/>
      <c r="I176" s="1"/>
      <c r="J176" s="1"/>
      <c r="K176" s="1"/>
      <c r="L176" s="1"/>
      <c r="M176" s="1"/>
      <c r="N176" s="1"/>
      <c r="O176" s="1"/>
      <c r="P176" s="1"/>
      <c r="Q176" s="1"/>
      <c r="R176" s="1"/>
      <c r="S176" s="1"/>
      <c r="T176" s="1"/>
      <c r="U176" s="1"/>
    </row>
    <row r="177" spans="2:22">
      <c r="B177" s="1"/>
      <c r="C177" s="1"/>
      <c r="D177" s="1"/>
      <c r="E177" s="1"/>
      <c r="F177" s="1"/>
      <c r="G177" s="1"/>
      <c r="H177" s="1"/>
      <c r="I177" s="1"/>
      <c r="J177" s="1"/>
      <c r="K177" s="1"/>
      <c r="L177" s="1"/>
      <c r="M177" s="1"/>
      <c r="N177" s="1"/>
      <c r="O177" s="1"/>
      <c r="P177" s="1"/>
      <c r="Q177" s="1"/>
      <c r="R177" s="1"/>
      <c r="S177" s="1"/>
      <c r="T177" s="1"/>
      <c r="U177" s="1"/>
    </row>
    <row r="178" spans="2:22">
      <c r="B178" s="1"/>
      <c r="C178" s="1"/>
      <c r="D178" s="1"/>
      <c r="E178" s="1"/>
      <c r="F178" s="1"/>
      <c r="G178" s="1"/>
      <c r="H178" s="1"/>
      <c r="I178" s="1"/>
      <c r="J178" s="1"/>
      <c r="K178" s="1"/>
      <c r="L178" s="1"/>
      <c r="M178" s="1"/>
      <c r="N178" s="1"/>
      <c r="O178" s="1"/>
      <c r="P178" s="1"/>
      <c r="Q178" s="1"/>
      <c r="R178" s="1"/>
      <c r="S178" s="1"/>
      <c r="T178" s="1"/>
      <c r="U178" s="1"/>
    </row>
    <row r="179" spans="2:22">
      <c r="B179" s="1"/>
      <c r="C179" s="1"/>
      <c r="D179" s="1"/>
      <c r="E179" s="1"/>
      <c r="F179" s="1"/>
      <c r="G179" s="1"/>
      <c r="H179" s="1"/>
      <c r="I179" s="1"/>
      <c r="J179" s="1"/>
      <c r="K179" s="1"/>
      <c r="L179" s="1"/>
      <c r="M179" s="1"/>
      <c r="N179" s="1"/>
      <c r="O179" s="1"/>
      <c r="P179" s="1"/>
      <c r="Q179" s="1"/>
      <c r="R179" s="1"/>
      <c r="S179" s="1"/>
      <c r="T179" s="1"/>
      <c r="U179" s="1"/>
    </row>
    <row r="180" spans="2:22">
      <c r="B180" s="1"/>
      <c r="C180" s="1"/>
      <c r="D180" s="1"/>
      <c r="E180" s="1"/>
      <c r="F180" s="1"/>
      <c r="G180" s="1"/>
      <c r="H180" s="1"/>
      <c r="I180" s="1"/>
      <c r="J180" s="1"/>
      <c r="K180" s="1"/>
      <c r="L180" s="1"/>
      <c r="M180" s="1"/>
      <c r="N180" s="1"/>
      <c r="O180" s="1"/>
      <c r="P180" s="1"/>
      <c r="Q180" s="1"/>
      <c r="R180" s="1"/>
      <c r="S180" s="1"/>
      <c r="T180" s="1"/>
      <c r="U180" s="1"/>
    </row>
    <row r="181" spans="2:22">
      <c r="B181" s="1"/>
      <c r="C181" s="1"/>
      <c r="D181" s="1"/>
      <c r="E181" s="1"/>
      <c r="F181" s="1"/>
      <c r="G181" s="1"/>
      <c r="H181" s="1"/>
      <c r="I181" s="1"/>
      <c r="J181" s="1"/>
      <c r="K181" s="1"/>
      <c r="L181" s="1"/>
      <c r="M181" s="1"/>
      <c r="N181" s="1"/>
      <c r="O181" s="1"/>
      <c r="P181" s="1"/>
      <c r="Q181" s="1"/>
      <c r="R181" s="1"/>
      <c r="S181" s="1"/>
      <c r="T181" s="1"/>
      <c r="U181" s="1"/>
    </row>
    <row r="182" spans="2:22">
      <c r="B182" s="1"/>
      <c r="C182" s="1"/>
      <c r="D182" s="1"/>
      <c r="E182" s="1"/>
      <c r="F182" s="1"/>
      <c r="G182" s="1"/>
      <c r="H182" s="1"/>
      <c r="I182" s="1"/>
      <c r="J182" s="1"/>
      <c r="K182" s="1"/>
      <c r="L182" s="1"/>
      <c r="M182" s="1"/>
      <c r="N182" s="1"/>
      <c r="O182" s="1"/>
      <c r="P182" s="1"/>
      <c r="Q182" s="1"/>
      <c r="R182" s="1"/>
      <c r="S182" s="1"/>
      <c r="T182" s="1"/>
      <c r="U182" s="1"/>
    </row>
    <row r="183" spans="2:22">
      <c r="B183" s="1"/>
      <c r="C183" s="1"/>
      <c r="D183" s="1"/>
      <c r="E183" s="1"/>
      <c r="F183" s="1"/>
      <c r="G183" s="1"/>
      <c r="H183" s="1"/>
      <c r="I183" s="1"/>
      <c r="J183" s="1"/>
      <c r="K183" s="1"/>
      <c r="L183" s="1"/>
      <c r="M183" s="1"/>
      <c r="N183" s="1"/>
      <c r="O183" s="1"/>
      <c r="P183" s="1"/>
      <c r="Q183" s="1"/>
      <c r="R183" s="1"/>
      <c r="S183" s="1"/>
      <c r="T183" s="1"/>
      <c r="U183" s="1"/>
    </row>
    <row r="184" spans="2:22">
      <c r="B184" s="1"/>
      <c r="C184" s="1"/>
      <c r="D184" s="1"/>
      <c r="E184" s="1"/>
      <c r="F184" s="1"/>
      <c r="G184" s="1"/>
      <c r="H184" s="1"/>
      <c r="I184" s="1"/>
      <c r="J184" s="1"/>
      <c r="K184" s="1"/>
      <c r="L184" s="1"/>
      <c r="M184" s="1"/>
      <c r="N184" s="1"/>
      <c r="O184" s="1"/>
      <c r="P184" s="1"/>
      <c r="Q184" s="1"/>
      <c r="R184" s="1"/>
      <c r="S184" s="1"/>
      <c r="T184" s="1"/>
      <c r="U184" s="1"/>
    </row>
    <row r="185" spans="2:22">
      <c r="C185" s="1"/>
      <c r="D185" s="1"/>
      <c r="E185" s="1"/>
      <c r="F185" s="1"/>
      <c r="G185" s="1"/>
      <c r="H185" s="1"/>
      <c r="I185" s="1"/>
      <c r="J185" s="1"/>
      <c r="K185" s="1"/>
      <c r="L185" s="1"/>
      <c r="M185" s="1"/>
      <c r="N185" s="1"/>
      <c r="O185" s="1"/>
      <c r="P185" s="1"/>
      <c r="Q185" s="1"/>
      <c r="R185" s="1"/>
      <c r="S185" s="1"/>
      <c r="T185" s="1"/>
      <c r="U185" s="1"/>
    </row>
    <row r="186" spans="2:22">
      <c r="E186" s="1"/>
      <c r="F186" s="1"/>
      <c r="G186" s="1"/>
      <c r="H186" s="1"/>
      <c r="I186" s="1"/>
      <c r="J186" s="1"/>
      <c r="K186" s="1"/>
      <c r="L186" s="1"/>
      <c r="M186" s="1"/>
      <c r="N186" s="1"/>
      <c r="O186" s="1"/>
      <c r="R186" s="1"/>
      <c r="S186" s="1"/>
      <c r="T186" s="1"/>
      <c r="U186" s="1"/>
    </row>
    <row r="187" spans="2:22">
      <c r="E187" s="1"/>
      <c r="F187" s="1"/>
      <c r="G187" s="1"/>
      <c r="H187" s="1"/>
      <c r="I187" s="1"/>
      <c r="J187" s="1"/>
      <c r="K187" s="1"/>
      <c r="L187" s="1"/>
      <c r="M187" s="1"/>
      <c r="N187" s="1"/>
      <c r="O187" s="1"/>
      <c r="R187" s="1"/>
      <c r="S187" s="1"/>
      <c r="T187" s="1"/>
      <c r="U187" s="1"/>
    </row>
    <row r="188" spans="2:22">
      <c r="E188" s="1"/>
      <c r="F188" s="1"/>
      <c r="G188" s="1"/>
      <c r="H188" s="1"/>
      <c r="I188" s="1"/>
      <c r="J188" s="1"/>
      <c r="K188" s="1"/>
      <c r="L188" s="1"/>
      <c r="M188" s="1"/>
      <c r="N188" s="1"/>
      <c r="O188" s="1"/>
      <c r="R188" s="1"/>
      <c r="S188" s="1"/>
      <c r="T188" s="1"/>
      <c r="U188" s="1"/>
    </row>
    <row r="189" spans="2:22">
      <c r="E189" s="1"/>
      <c r="F189" s="1"/>
      <c r="G189" s="1"/>
      <c r="H189" s="1"/>
      <c r="I189" s="1"/>
      <c r="J189" s="1"/>
      <c r="K189" s="1"/>
      <c r="L189" s="1"/>
      <c r="M189" s="1"/>
      <c r="N189" s="1"/>
      <c r="O189" s="1"/>
      <c r="R189" s="1"/>
      <c r="S189" s="1"/>
      <c r="T189" s="1"/>
      <c r="U189" s="1"/>
    </row>
    <row r="190" spans="2:22">
      <c r="O190" s="1"/>
      <c r="R190" s="1"/>
      <c r="S190" s="1"/>
      <c r="T190" s="1"/>
      <c r="U190" s="1"/>
    </row>
    <row r="191" spans="2:22">
      <c r="O191" s="1"/>
      <c r="R191" s="1"/>
      <c r="S191" s="1"/>
      <c r="T191" s="1"/>
      <c r="U191" s="1"/>
      <c r="V191" s="1"/>
    </row>
    <row r="192" spans="2:22">
      <c r="O192" s="1"/>
      <c r="R192" s="1"/>
      <c r="S192" s="1"/>
      <c r="T192" s="1"/>
      <c r="U192" s="1"/>
    </row>
    <row r="193" spans="19:21">
      <c r="S193" s="1"/>
      <c r="T193" s="1"/>
      <c r="U193" s="1"/>
    </row>
    <row r="194" spans="19:21">
      <c r="S194" s="1"/>
      <c r="T194" s="1"/>
      <c r="U194" s="1"/>
    </row>
    <row r="195" spans="19:21">
      <c r="S195" s="1"/>
      <c r="T195" s="1"/>
      <c r="U195" s="1"/>
    </row>
    <row r="196" spans="19:21">
      <c r="S196" s="1"/>
      <c r="T196" s="1"/>
      <c r="U196" s="1"/>
    </row>
    <row r="197" spans="19:21">
      <c r="S197" s="1"/>
      <c r="T197" s="1"/>
      <c r="U197" s="1"/>
    </row>
    <row r="198" spans="19:21">
      <c r="S198" s="1"/>
      <c r="T198" s="1"/>
      <c r="U198" s="1"/>
    </row>
    <row r="199" spans="19:21">
      <c r="S199" s="1"/>
      <c r="T199" s="1"/>
      <c r="U199" s="1"/>
    </row>
    <row r="200" spans="19:21">
      <c r="S200" t="s">
        <v>7</v>
      </c>
    </row>
    <row r="201" spans="19:21">
      <c r="S201" t="s">
        <v>7</v>
      </c>
    </row>
  </sheetData>
  <sheetProtection password="E733" sheet="1" objects="1" scenarios="1"/>
  <mergeCells count="185">
    <mergeCell ref="S83:W83"/>
    <mergeCell ref="S82:W82"/>
    <mergeCell ref="S81:W81"/>
    <mergeCell ref="S80:W80"/>
    <mergeCell ref="S79:W79"/>
    <mergeCell ref="S78:W78"/>
    <mergeCell ref="S77:W77"/>
    <mergeCell ref="S75:W75"/>
    <mergeCell ref="S103:W103"/>
    <mergeCell ref="S129:W129"/>
    <mergeCell ref="S128:W128"/>
    <mergeCell ref="S127:W127"/>
    <mergeCell ref="S104:W104"/>
    <mergeCell ref="S99:W99"/>
    <mergeCell ref="S96:W96"/>
    <mergeCell ref="S95:W95"/>
    <mergeCell ref="S94:W94"/>
    <mergeCell ref="S105:W105"/>
    <mergeCell ref="S100:W100"/>
    <mergeCell ref="S98:W98"/>
    <mergeCell ref="S102:W102"/>
    <mergeCell ref="S101:W101"/>
    <mergeCell ref="S110:W110"/>
    <mergeCell ref="S159:W159"/>
    <mergeCell ref="S157:W157"/>
    <mergeCell ref="S147:W147"/>
    <mergeCell ref="S146:W146"/>
    <mergeCell ref="S145:W145"/>
    <mergeCell ref="S144:W144"/>
    <mergeCell ref="S143:W143"/>
    <mergeCell ref="S132:W132"/>
    <mergeCell ref="S131:W131"/>
    <mergeCell ref="S135:W135"/>
    <mergeCell ref="S134:W134"/>
    <mergeCell ref="S133:W133"/>
    <mergeCell ref="E156:K156"/>
    <mergeCell ref="E19:O19"/>
    <mergeCell ref="T13:U15"/>
    <mergeCell ref="S150:W150"/>
    <mergeCell ref="S151:W151"/>
    <mergeCell ref="S152:W152"/>
    <mergeCell ref="S153:W153"/>
    <mergeCell ref="S154:W154"/>
    <mergeCell ref="S155:W155"/>
    <mergeCell ref="S156:W156"/>
    <mergeCell ref="F132:H132"/>
    <mergeCell ref="F153:H153"/>
    <mergeCell ref="E136:J136"/>
    <mergeCell ref="E137:J137"/>
    <mergeCell ref="F141:H141"/>
    <mergeCell ref="E71:G71"/>
    <mergeCell ref="L79:O79"/>
    <mergeCell ref="H79:J79"/>
    <mergeCell ref="E151:J151"/>
    <mergeCell ref="E26:Q26"/>
    <mergeCell ref="E27:P27"/>
    <mergeCell ref="E145:M145"/>
    <mergeCell ref="F148:H148"/>
    <mergeCell ref="E146:L146"/>
    <mergeCell ref="S2:V3"/>
    <mergeCell ref="E47:J47"/>
    <mergeCell ref="H2:J4"/>
    <mergeCell ref="K2:P4"/>
    <mergeCell ref="H8:J8"/>
    <mergeCell ref="K8:L8"/>
    <mergeCell ref="H6:J6"/>
    <mergeCell ref="K6:P6"/>
    <mergeCell ref="E31:K31"/>
    <mergeCell ref="E18:O18"/>
    <mergeCell ref="E22:O22"/>
    <mergeCell ref="B10:F11"/>
    <mergeCell ref="E34:J34"/>
    <mergeCell ref="M8:P8"/>
    <mergeCell ref="G11:L11"/>
    <mergeCell ref="T23:U26"/>
    <mergeCell ref="G10:L10"/>
    <mergeCell ref="T5:U6"/>
    <mergeCell ref="T16:U18"/>
    <mergeCell ref="T11:U12"/>
    <mergeCell ref="S9:V10"/>
    <mergeCell ref="E122:J122"/>
    <mergeCell ref="S67:W67"/>
    <mergeCell ref="B15:G15"/>
    <mergeCell ref="S89:W89"/>
    <mergeCell ref="S88:W88"/>
    <mergeCell ref="S87:W87"/>
    <mergeCell ref="S86:W86"/>
    <mergeCell ref="F140:H140"/>
    <mergeCell ref="F73:H73"/>
    <mergeCell ref="E48:P48"/>
    <mergeCell ref="E50:P50"/>
    <mergeCell ref="B17:G17"/>
    <mergeCell ref="T19:U22"/>
    <mergeCell ref="E24:Q24"/>
    <mergeCell ref="E25:P25"/>
    <mergeCell ref="E20:O20"/>
    <mergeCell ref="E32:P33"/>
    <mergeCell ref="E52:J52"/>
    <mergeCell ref="S69:W69"/>
    <mergeCell ref="S68:W68"/>
    <mergeCell ref="S76:W76"/>
    <mergeCell ref="S66:W66"/>
    <mergeCell ref="K77:P78"/>
    <mergeCell ref="E45:P45"/>
    <mergeCell ref="S130:W130"/>
    <mergeCell ref="E155:J155"/>
    <mergeCell ref="F157:H157"/>
    <mergeCell ref="L95:O95"/>
    <mergeCell ref="S158:W158"/>
    <mergeCell ref="S126:W126"/>
    <mergeCell ref="S125:W125"/>
    <mergeCell ref="S124:W124"/>
    <mergeCell ref="S123:W123"/>
    <mergeCell ref="S122:W122"/>
    <mergeCell ref="S121:W121"/>
    <mergeCell ref="S113:W113"/>
    <mergeCell ref="S97:W97"/>
    <mergeCell ref="S148:W148"/>
    <mergeCell ref="S149:W149"/>
    <mergeCell ref="S142:W142"/>
    <mergeCell ref="S141:W141"/>
    <mergeCell ref="S140:W140"/>
    <mergeCell ref="S139:W139"/>
    <mergeCell ref="S138:W138"/>
    <mergeCell ref="S137:W137"/>
    <mergeCell ref="S136:W136"/>
    <mergeCell ref="E144:G144"/>
    <mergeCell ref="F139:H139"/>
    <mergeCell ref="E135:J135"/>
    <mergeCell ref="D21:O21"/>
    <mergeCell ref="E65:F65"/>
    <mergeCell ref="E49:J49"/>
    <mergeCell ref="L69:O69"/>
    <mergeCell ref="E89:F89"/>
    <mergeCell ref="E93:G93"/>
    <mergeCell ref="E77:J77"/>
    <mergeCell ref="E87:F87"/>
    <mergeCell ref="E94:G94"/>
    <mergeCell ref="E54:P55"/>
    <mergeCell ref="E56:P57"/>
    <mergeCell ref="E58:P59"/>
    <mergeCell ref="E130:J130"/>
    <mergeCell ref="E129:J129"/>
    <mergeCell ref="E128:J128"/>
    <mergeCell ref="E123:J123"/>
    <mergeCell ref="E121:J121"/>
    <mergeCell ref="E105:N105"/>
    <mergeCell ref="E85:J85"/>
    <mergeCell ref="E82:J82"/>
    <mergeCell ref="F125:H125"/>
    <mergeCell ref="E114:J114"/>
    <mergeCell ref="E115:J115"/>
    <mergeCell ref="E116:J116"/>
    <mergeCell ref="F118:H118"/>
    <mergeCell ref="S120:W120"/>
    <mergeCell ref="S119:W119"/>
    <mergeCell ref="S118:W118"/>
    <mergeCell ref="S117:W117"/>
    <mergeCell ref="S116:W116"/>
    <mergeCell ref="S115:W115"/>
    <mergeCell ref="S114:W114"/>
    <mergeCell ref="F111:H111"/>
    <mergeCell ref="S111:W111"/>
    <mergeCell ref="S112:W112"/>
    <mergeCell ref="E28:Q29"/>
    <mergeCell ref="E60:P61"/>
    <mergeCell ref="E62:P63"/>
    <mergeCell ref="S106:W106"/>
    <mergeCell ref="E107:J107"/>
    <mergeCell ref="S107:W107"/>
    <mergeCell ref="E108:J108"/>
    <mergeCell ref="S108:W108"/>
    <mergeCell ref="E109:J109"/>
    <mergeCell ref="S109:W109"/>
    <mergeCell ref="S93:W93"/>
    <mergeCell ref="S92:W92"/>
    <mergeCell ref="S91:W91"/>
    <mergeCell ref="S90:W90"/>
    <mergeCell ref="S85:W85"/>
    <mergeCell ref="S74:W74"/>
    <mergeCell ref="S73:W73"/>
    <mergeCell ref="S72:W72"/>
    <mergeCell ref="S71:W71"/>
    <mergeCell ref="S70:W70"/>
    <mergeCell ref="S84:W84"/>
  </mergeCells>
  <dataValidations count="1">
    <dataValidation type="list" allowBlank="1" showInputMessage="1" showErrorMessage="1" sqref="R31">
      <formula1>$R$32:$R$47</formula1>
    </dataValidation>
  </dataValidations>
  <hyperlinks>
    <hyperlink ref="B10:F11" r:id="rId1" display="Notice :"/>
    <hyperlink ref="T11:U12" r:id="rId2" display="- Notre FAQ sur le sujet (lien ici)"/>
    <hyperlink ref="T16:U18" r:id="rId3" display="- Le décret 2021-422 du 10/04/2021 (lien ici)"/>
    <hyperlink ref="T23:U26" r:id="rId4" display="- Notion de fermeture administrative définie au décret 2020-1310 du 29/10/2020 (lien ici)"/>
    <hyperlink ref="T13:U15" r:id="rId5" display="- Le décret 2020-371 MAJ 12/04/2021 (lien ici)"/>
    <hyperlink ref="T19:U22" r:id="rId6" display="- Notre résumé des décrets sur le fond de solidarité (lien ici)"/>
  </hyperlinks>
  <pageMargins left="0.7" right="0.7" top="0.75" bottom="0.75" header="0.3" footer="0.3"/>
  <pageSetup paperSize="9" orientation="portrait" horizontalDpi="1200" verticalDpi="1200" r:id="rId7"/>
  <drawing r:id="rId8"/>
  <legacyDrawing r:id="rId9"/>
  <mc:AlternateContent xmlns:mc="http://schemas.openxmlformats.org/markup-compatibility/2006">
    <mc:Choice Requires="x14">
      <controls>
        <mc:AlternateContent xmlns:mc="http://schemas.openxmlformats.org/markup-compatibility/2006">
          <mc:Choice Requires="x14">
            <control shapeId="2052" r:id="rId10" name="Drop Down 4">
              <controlPr defaultSize="0" autoLine="0" autoPict="0">
                <anchor moveWithCells="1">
                  <from>
                    <xdr:col>7</xdr:col>
                    <xdr:colOff>9525</xdr:colOff>
                    <xdr:row>14</xdr:row>
                    <xdr:rowOff>0</xdr:rowOff>
                  </from>
                  <to>
                    <xdr:col>15</xdr:col>
                    <xdr:colOff>666750</xdr:colOff>
                    <xdr:row>15</xdr:row>
                    <xdr:rowOff>0</xdr:rowOff>
                  </to>
                </anchor>
              </controlPr>
            </control>
          </mc:Choice>
        </mc:AlternateContent>
        <mc:AlternateContent xmlns:mc="http://schemas.openxmlformats.org/markup-compatibility/2006">
          <mc:Choice Requires="x14">
            <control shapeId="2053" r:id="rId11" name="Drop Down 5">
              <controlPr defaultSize="0" autoLine="0" autoPict="0">
                <anchor moveWithCells="1">
                  <from>
                    <xdr:col>7</xdr:col>
                    <xdr:colOff>9525</xdr:colOff>
                    <xdr:row>16</xdr:row>
                    <xdr:rowOff>0</xdr:rowOff>
                  </from>
                  <to>
                    <xdr:col>15</xdr:col>
                    <xdr:colOff>676275</xdr:colOff>
                    <xdr:row>17</xdr:row>
                    <xdr:rowOff>0</xdr:rowOff>
                  </to>
                </anchor>
              </controlPr>
            </control>
          </mc:Choice>
        </mc:AlternateContent>
        <mc:AlternateContent xmlns:mc="http://schemas.openxmlformats.org/markup-compatibility/2006">
          <mc:Choice Requires="x14">
            <control shapeId="2054" r:id="rId12" name="Check Box 6">
              <controlPr defaultSize="0" autoFill="0" autoLine="0" autoPict="0" altText="Interdiction d'accueil du public (du ... au ...)">
                <anchor moveWithCells="1">
                  <from>
                    <xdr:col>3</xdr:col>
                    <xdr:colOff>19050</xdr:colOff>
                    <xdr:row>33</xdr:row>
                    <xdr:rowOff>0</xdr:rowOff>
                  </from>
                  <to>
                    <xdr:col>9</xdr:col>
                    <xdr:colOff>542925</xdr:colOff>
                    <xdr:row>34</xdr:row>
                    <xdr:rowOff>0</xdr:rowOff>
                  </to>
                </anchor>
              </controlPr>
            </control>
          </mc:Choice>
        </mc:AlternateContent>
        <mc:AlternateContent xmlns:mc="http://schemas.openxmlformats.org/markup-compatibility/2006">
          <mc:Choice Requires="x14">
            <control shapeId="2055" r:id="rId13" name="Check Box 7">
              <controlPr defaultSize="0" autoFill="0" autoLine="0" autoPict="0">
                <anchor moveWithCells="1">
                  <from>
                    <xdr:col>3</xdr:col>
                    <xdr:colOff>19050</xdr:colOff>
                    <xdr:row>30</xdr:row>
                    <xdr:rowOff>9525</xdr:rowOff>
                  </from>
                  <to>
                    <xdr:col>9</xdr:col>
                    <xdr:colOff>542925</xdr:colOff>
                    <xdr:row>31</xdr:row>
                    <xdr:rowOff>0</xdr:rowOff>
                  </to>
                </anchor>
              </controlPr>
            </control>
          </mc:Choice>
        </mc:AlternateContent>
        <mc:AlternateContent xmlns:mc="http://schemas.openxmlformats.org/markup-compatibility/2006">
          <mc:Choice Requires="x14">
            <control shapeId="2056" r:id="rId14" name="Drop Down 8">
              <controlPr defaultSize="0" autoLine="0" autoPict="0">
                <anchor moveWithCells="1">
                  <from>
                    <xdr:col>12</xdr:col>
                    <xdr:colOff>361950</xdr:colOff>
                    <xdr:row>36</xdr:row>
                    <xdr:rowOff>180975</xdr:rowOff>
                  </from>
                  <to>
                    <xdr:col>12</xdr:col>
                    <xdr:colOff>800100</xdr:colOff>
                    <xdr:row>38</xdr:row>
                    <xdr:rowOff>9525</xdr:rowOff>
                  </to>
                </anchor>
              </controlPr>
            </control>
          </mc:Choice>
        </mc:AlternateContent>
        <mc:AlternateContent xmlns:mc="http://schemas.openxmlformats.org/markup-compatibility/2006">
          <mc:Choice Requires="x14">
            <control shapeId="2057" r:id="rId15" name="Drop Down 9">
              <controlPr defaultSize="0" autoLine="0" autoPict="0">
                <anchor moveWithCells="1">
                  <from>
                    <xdr:col>15</xdr:col>
                    <xdr:colOff>323850</xdr:colOff>
                    <xdr:row>37</xdr:row>
                    <xdr:rowOff>9525</xdr:rowOff>
                  </from>
                  <to>
                    <xdr:col>15</xdr:col>
                    <xdr:colOff>790575</xdr:colOff>
                    <xdr:row>38</xdr:row>
                    <xdr:rowOff>9525</xdr:rowOff>
                  </to>
                </anchor>
              </controlPr>
            </control>
          </mc:Choice>
        </mc:AlternateContent>
        <mc:AlternateContent xmlns:mc="http://schemas.openxmlformats.org/markup-compatibility/2006">
          <mc:Choice Requires="x14">
            <control shapeId="2058" r:id="rId16" name="Check Box 10">
              <controlPr defaultSize="0" autoFill="0" autoLine="0" autoPict="0" altText="Interdiction d'accueil du public (du ... au ...)">
                <anchor moveWithCells="1">
                  <from>
                    <xdr:col>3</xdr:col>
                    <xdr:colOff>19050</xdr:colOff>
                    <xdr:row>46</xdr:row>
                    <xdr:rowOff>9525</xdr:rowOff>
                  </from>
                  <to>
                    <xdr:col>9</xdr:col>
                    <xdr:colOff>571500</xdr:colOff>
                    <xdr:row>46</xdr:row>
                    <xdr:rowOff>180975</xdr:rowOff>
                  </to>
                </anchor>
              </controlPr>
            </control>
          </mc:Choice>
        </mc:AlternateContent>
        <mc:AlternateContent xmlns:mc="http://schemas.openxmlformats.org/markup-compatibility/2006">
          <mc:Choice Requires="x14">
            <control shapeId="2059" r:id="rId17" name="Check Box 11">
              <controlPr defaultSize="0" autoFill="0" autoLine="0" autoPict="0" altText="Interdiction d'accueil du public (du ... au ...)">
                <anchor moveWithCells="1">
                  <from>
                    <xdr:col>3</xdr:col>
                    <xdr:colOff>19050</xdr:colOff>
                    <xdr:row>48</xdr:row>
                    <xdr:rowOff>9525</xdr:rowOff>
                  </from>
                  <to>
                    <xdr:col>9</xdr:col>
                    <xdr:colOff>571500</xdr:colOff>
                    <xdr:row>48</xdr:row>
                    <xdr:rowOff>180975</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from>
                    <xdr:col>3</xdr:col>
                    <xdr:colOff>19050</xdr:colOff>
                    <xdr:row>23</xdr:row>
                    <xdr:rowOff>9525</xdr:rowOff>
                  </from>
                  <to>
                    <xdr:col>10</xdr:col>
                    <xdr:colOff>47625</xdr:colOff>
                    <xdr:row>24</xdr:row>
                    <xdr:rowOff>9525</xdr:rowOff>
                  </to>
                </anchor>
              </controlPr>
            </control>
          </mc:Choice>
        </mc:AlternateContent>
        <mc:AlternateContent xmlns:mc="http://schemas.openxmlformats.org/markup-compatibility/2006">
          <mc:Choice Requires="x14">
            <control shapeId="2063" r:id="rId19" name="Check Box 15">
              <controlPr defaultSize="0" autoFill="0" autoLine="0" autoPict="0" altText="Interdiction d'accueil du public (du ... au ...)">
                <anchor moveWithCells="1">
                  <from>
                    <xdr:col>3</xdr:col>
                    <xdr:colOff>19050</xdr:colOff>
                    <xdr:row>51</xdr:row>
                    <xdr:rowOff>9525</xdr:rowOff>
                  </from>
                  <to>
                    <xdr:col>9</xdr:col>
                    <xdr:colOff>571500</xdr:colOff>
                    <xdr:row>51</xdr:row>
                    <xdr:rowOff>180975</xdr:rowOff>
                  </to>
                </anchor>
              </controlPr>
            </control>
          </mc:Choice>
        </mc:AlternateContent>
        <mc:AlternateContent xmlns:mc="http://schemas.openxmlformats.org/markup-compatibility/2006">
          <mc:Choice Requires="x14">
            <control shapeId="2064" r:id="rId20" name="Check Box 16">
              <controlPr defaultSize="0" autoFill="0" autoLine="0" autoPict="0" altText="Interdiction d'accueil du public (du ... au ...)">
                <anchor moveWithCells="1">
                  <from>
                    <xdr:col>3</xdr:col>
                    <xdr:colOff>19050</xdr:colOff>
                    <xdr:row>53</xdr:row>
                    <xdr:rowOff>9525</xdr:rowOff>
                  </from>
                  <to>
                    <xdr:col>9</xdr:col>
                    <xdr:colOff>571500</xdr:colOff>
                    <xdr:row>53</xdr:row>
                    <xdr:rowOff>180975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3</xdr:col>
                    <xdr:colOff>19050</xdr:colOff>
                    <xdr:row>25</xdr:row>
                    <xdr:rowOff>9525</xdr:rowOff>
                  </from>
                  <to>
                    <xdr:col>10</xdr:col>
                    <xdr:colOff>47625</xdr:colOff>
                    <xdr:row>25</xdr:row>
                    <xdr:rowOff>209550</xdr:rowOff>
                  </to>
                </anchor>
              </controlPr>
            </control>
          </mc:Choice>
        </mc:AlternateContent>
        <mc:AlternateContent xmlns:mc="http://schemas.openxmlformats.org/markup-compatibility/2006">
          <mc:Choice Requires="x14">
            <control shapeId="2066" r:id="rId22" name="Check Box 18">
              <controlPr defaultSize="0" autoFill="0" autoLine="0" autoPict="0" altText="Interdiction d'accueil du public (du ... au ...)">
                <anchor moveWithCells="1">
                  <from>
                    <xdr:col>3</xdr:col>
                    <xdr:colOff>19050</xdr:colOff>
                    <xdr:row>55</xdr:row>
                    <xdr:rowOff>9525</xdr:rowOff>
                  </from>
                  <to>
                    <xdr:col>9</xdr:col>
                    <xdr:colOff>571500</xdr:colOff>
                    <xdr:row>55</xdr:row>
                    <xdr:rowOff>180975</xdr:rowOff>
                  </to>
                </anchor>
              </controlPr>
            </control>
          </mc:Choice>
        </mc:AlternateContent>
        <mc:AlternateContent xmlns:mc="http://schemas.openxmlformats.org/markup-compatibility/2006">
          <mc:Choice Requires="x14">
            <control shapeId="2068" r:id="rId23" name="Check Box 20">
              <controlPr defaultSize="0" autoFill="0" autoLine="0" autoPict="0" altText="Interdiction d'accueil du public (du ... au ...)">
                <anchor moveWithCells="1">
                  <from>
                    <xdr:col>3</xdr:col>
                    <xdr:colOff>19050</xdr:colOff>
                    <xdr:row>57</xdr:row>
                    <xdr:rowOff>9525</xdr:rowOff>
                  </from>
                  <to>
                    <xdr:col>9</xdr:col>
                    <xdr:colOff>571500</xdr:colOff>
                    <xdr:row>57</xdr:row>
                    <xdr:rowOff>180975</xdr:rowOff>
                  </to>
                </anchor>
              </controlPr>
            </control>
          </mc:Choice>
        </mc:AlternateContent>
        <mc:AlternateContent xmlns:mc="http://schemas.openxmlformats.org/markup-compatibility/2006">
          <mc:Choice Requires="x14">
            <control shapeId="2069" r:id="rId24" name="Check Box 21">
              <controlPr defaultSize="0" autoFill="0" autoLine="0" autoPict="0" altText="Interdiction d'accueil du public (du ... au ...)">
                <anchor moveWithCells="1">
                  <from>
                    <xdr:col>3</xdr:col>
                    <xdr:colOff>19050</xdr:colOff>
                    <xdr:row>59</xdr:row>
                    <xdr:rowOff>9525</xdr:rowOff>
                  </from>
                  <to>
                    <xdr:col>9</xdr:col>
                    <xdr:colOff>571500</xdr:colOff>
                    <xdr:row>59</xdr:row>
                    <xdr:rowOff>180975</xdr:rowOff>
                  </to>
                </anchor>
              </controlPr>
            </control>
          </mc:Choice>
        </mc:AlternateContent>
        <mc:AlternateContent xmlns:mc="http://schemas.openxmlformats.org/markup-compatibility/2006">
          <mc:Choice Requires="x14">
            <control shapeId="2070" r:id="rId25" name="Check Box 22">
              <controlPr defaultSize="0" autoFill="0" autoLine="0" autoPict="0" altText="Interdiction d'accueil du public (du ... au ...)">
                <anchor moveWithCells="1">
                  <from>
                    <xdr:col>3</xdr:col>
                    <xdr:colOff>19050</xdr:colOff>
                    <xdr:row>61</xdr:row>
                    <xdr:rowOff>9525</xdr:rowOff>
                  </from>
                  <to>
                    <xdr:col>9</xdr:col>
                    <xdr:colOff>571500</xdr:colOff>
                    <xdr:row>61</xdr:row>
                    <xdr:rowOff>180975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19050</xdr:colOff>
                    <xdr:row>27</xdr:row>
                    <xdr:rowOff>9525</xdr:rowOff>
                  </from>
                  <to>
                    <xdr:col>10</xdr:col>
                    <xdr:colOff>47625</xdr:colOff>
                    <xdr:row>28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ECFDD"/>
  </sheetPr>
  <dimension ref="A3:AH423"/>
  <sheetViews>
    <sheetView showGridLines="0" workbookViewId="0">
      <selection activeCell="B2" sqref="B2"/>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4.28515625" hidden="1" customWidth="1"/>
    <col min="29" max="29" width="3.7109375" hidden="1" customWidth="1"/>
    <col min="30" max="30" width="3.85546875" hidden="1" customWidth="1"/>
    <col min="31" max="31" width="11.42578125" hidden="1" customWidth="1"/>
  </cols>
  <sheetData>
    <row r="3" spans="2:34" ht="15" customHeight="1">
      <c r="B3" s="5"/>
      <c r="C3" s="77"/>
      <c r="D3" s="77"/>
      <c r="E3" s="77"/>
      <c r="F3" s="486" t="s">
        <v>125</v>
      </c>
      <c r="G3" s="486"/>
      <c r="H3" s="486"/>
      <c r="I3" s="486"/>
      <c r="J3" s="486"/>
      <c r="K3" s="486"/>
      <c r="L3" s="486"/>
      <c r="M3" s="486"/>
      <c r="N3" s="486"/>
      <c r="O3" s="486"/>
      <c r="R3" s="109"/>
    </row>
    <row r="4" spans="2:34" ht="15" customHeight="1">
      <c r="B4" s="77"/>
      <c r="C4" s="77"/>
      <c r="D4" s="77"/>
      <c r="E4" s="77"/>
      <c r="F4" s="486"/>
      <c r="G4" s="486"/>
      <c r="H4" s="486"/>
      <c r="I4" s="486"/>
      <c r="J4" s="486"/>
      <c r="K4" s="486"/>
      <c r="L4" s="486"/>
      <c r="M4" s="486"/>
      <c r="N4" s="486"/>
      <c r="O4" s="486"/>
      <c r="P4" s="99"/>
    </row>
    <row r="5" spans="2:34" ht="15" customHeight="1">
      <c r="B5" s="77"/>
      <c r="C5" s="77"/>
      <c r="D5" s="77"/>
      <c r="E5" s="77"/>
      <c r="F5" s="486"/>
      <c r="G5" s="486"/>
      <c r="H5" s="486"/>
      <c r="I5" s="486"/>
      <c r="J5" s="486"/>
      <c r="K5" s="486"/>
      <c r="L5" s="486"/>
      <c r="M5" s="486"/>
      <c r="N5" s="486"/>
      <c r="O5" s="486"/>
    </row>
    <row r="6" spans="2:34" ht="15" customHeight="1">
      <c r="B6" s="77"/>
      <c r="C6" s="77"/>
      <c r="D6" s="77"/>
      <c r="E6" s="77"/>
      <c r="F6" s="486"/>
      <c r="G6" s="486"/>
      <c r="H6" s="486"/>
      <c r="I6" s="486"/>
      <c r="J6" s="486"/>
      <c r="K6" s="486"/>
      <c r="L6" s="486"/>
      <c r="M6" s="486"/>
      <c r="N6" s="486"/>
      <c r="O6" s="486"/>
    </row>
    <row r="7" spans="2:34">
      <c r="B7" s="9"/>
      <c r="C7" s="9"/>
      <c r="D7" s="9"/>
      <c r="E7" s="9"/>
      <c r="F7" s="9"/>
      <c r="G7" s="108"/>
      <c r="H7" s="9"/>
      <c r="I7" s="9"/>
      <c r="J7" s="9"/>
      <c r="K7" s="9"/>
      <c r="L7" s="9"/>
      <c r="M7" s="9"/>
      <c r="N7" s="9"/>
    </row>
    <row r="8" spans="2:34" ht="15.75">
      <c r="B8" s="487" t="s">
        <v>34</v>
      </c>
      <c r="C8" s="487"/>
      <c r="D8" s="487"/>
      <c r="E8" s="487"/>
      <c r="F8" s="487"/>
      <c r="G8" s="487"/>
      <c r="H8" s="487"/>
      <c r="I8" s="487"/>
      <c r="J8" s="487"/>
      <c r="K8" s="487"/>
      <c r="L8" s="487"/>
      <c r="M8" s="487"/>
      <c r="N8" s="487"/>
      <c r="O8" s="487"/>
    </row>
    <row r="9" spans="2:34" ht="15" customHeight="1">
      <c r="B9" s="488" t="s">
        <v>33</v>
      </c>
      <c r="C9" s="488"/>
      <c r="D9" s="488"/>
      <c r="E9" s="488"/>
      <c r="F9" s="488"/>
      <c r="G9" s="488"/>
      <c r="H9" s="488"/>
      <c r="I9" s="488"/>
      <c r="J9" s="488"/>
      <c r="K9" s="488"/>
      <c r="L9" s="488"/>
      <c r="M9" s="488"/>
      <c r="N9" s="488"/>
      <c r="O9" s="488"/>
    </row>
    <row r="10" spans="2:34" ht="15" customHeight="1">
      <c r="B10" s="488"/>
      <c r="C10" s="488"/>
      <c r="D10" s="488"/>
      <c r="E10" s="488"/>
      <c r="F10" s="488"/>
      <c r="G10" s="488"/>
      <c r="H10" s="488"/>
      <c r="I10" s="488"/>
      <c r="J10" s="488"/>
      <c r="K10" s="488"/>
      <c r="L10" s="488"/>
      <c r="M10" s="488"/>
      <c r="N10" s="488"/>
      <c r="O10" s="488"/>
    </row>
    <row r="11" spans="2:34" ht="15.75">
      <c r="B11" s="487" t="s">
        <v>65</v>
      </c>
      <c r="C11" s="487"/>
      <c r="D11" s="487"/>
      <c r="E11" s="487"/>
      <c r="F11" s="487"/>
      <c r="G11" s="487"/>
      <c r="H11" s="487"/>
      <c r="I11" s="487"/>
      <c r="J11" s="487"/>
      <c r="K11" s="487"/>
      <c r="L11" s="487"/>
      <c r="M11" s="487"/>
      <c r="N11" s="487"/>
      <c r="O11" s="487"/>
      <c r="P11" s="99"/>
      <c r="Q11" s="99"/>
      <c r="R11" s="99"/>
      <c r="S11" s="99"/>
    </row>
    <row r="12" spans="2:34">
      <c r="R12" t="s">
        <v>7</v>
      </c>
    </row>
    <row r="13" spans="2:34">
      <c r="B13" s="354" t="s">
        <v>68</v>
      </c>
      <c r="C13" s="354"/>
      <c r="D13" s="354"/>
      <c r="E13" s="354"/>
      <c r="F13" s="354"/>
      <c r="G13" s="354"/>
      <c r="H13" s="354"/>
      <c r="I13" s="354"/>
      <c r="J13" s="354"/>
      <c r="K13" s="354"/>
      <c r="L13" s="354"/>
      <c r="M13" s="354"/>
      <c r="N13" s="354"/>
      <c r="O13" s="354"/>
      <c r="S13" s="109"/>
      <c r="T13" s="475" t="s">
        <v>32</v>
      </c>
      <c r="U13" s="475"/>
      <c r="V13" s="475"/>
      <c r="W13" s="475"/>
      <c r="X13" s="475"/>
      <c r="Y13" s="475"/>
      <c r="Z13" s="475"/>
      <c r="AA13" s="475"/>
      <c r="AB13" s="475"/>
      <c r="AC13" s="475"/>
      <c r="AD13" s="475"/>
      <c r="AE13" s="475"/>
      <c r="AF13" s="1"/>
      <c r="AG13" s="1"/>
      <c r="AH13" s="1"/>
    </row>
    <row r="14" spans="2:34" ht="16.5" customHeight="1">
      <c r="B14" s="219"/>
      <c r="C14" s="219"/>
      <c r="D14" s="219"/>
      <c r="E14" s="219"/>
      <c r="F14" s="219"/>
      <c r="G14" s="219"/>
      <c r="H14" s="219"/>
      <c r="I14" s="219"/>
      <c r="J14" s="219"/>
      <c r="K14" s="219"/>
      <c r="L14" s="219"/>
      <c r="M14" s="219"/>
      <c r="N14" s="219"/>
      <c r="O14" s="219"/>
      <c r="S14" s="109"/>
      <c r="T14" s="475"/>
      <c r="U14" s="475"/>
      <c r="V14" s="475"/>
      <c r="W14" s="475"/>
      <c r="X14" s="475"/>
      <c r="Y14" s="475"/>
      <c r="Z14" s="475"/>
      <c r="AA14" s="475"/>
      <c r="AB14" s="475"/>
      <c r="AC14" s="475"/>
      <c r="AD14" s="475"/>
      <c r="AE14" s="475"/>
      <c r="AF14" s="1"/>
      <c r="AG14" s="1"/>
      <c r="AH14" s="1"/>
    </row>
    <row r="15" spans="2:34" ht="15.75" thickBot="1">
      <c r="B15" s="224"/>
      <c r="C15" s="224"/>
      <c r="D15" s="224"/>
      <c r="E15" s="224"/>
      <c r="F15" s="224"/>
      <c r="G15" s="224"/>
      <c r="H15" s="224"/>
      <c r="I15" s="224"/>
      <c r="J15" s="224"/>
      <c r="K15" s="224"/>
      <c r="L15" s="224"/>
      <c r="M15" s="224"/>
      <c r="N15" s="224"/>
      <c r="O15" s="224"/>
      <c r="S15" s="109"/>
      <c r="T15" s="475"/>
      <c r="U15" s="475"/>
      <c r="V15" s="475"/>
      <c r="W15" s="475"/>
      <c r="X15" s="475"/>
      <c r="Y15" s="475"/>
      <c r="Z15" s="475"/>
      <c r="AA15" s="475"/>
      <c r="AB15" s="475"/>
      <c r="AC15" s="475"/>
      <c r="AD15" s="475"/>
      <c r="AE15" s="475"/>
      <c r="AF15" s="1"/>
      <c r="AG15" s="1"/>
      <c r="AH15" s="1"/>
    </row>
    <row r="16" spans="2:34" ht="15" customHeight="1">
      <c r="B16" s="473">
        <v>2020</v>
      </c>
      <c r="C16" s="473"/>
      <c r="D16" s="473"/>
      <c r="E16" s="473"/>
      <c r="F16" s="473"/>
      <c r="G16" s="473"/>
      <c r="H16" s="473"/>
      <c r="I16" s="473"/>
      <c r="J16" s="473"/>
      <c r="K16" s="473"/>
      <c r="L16" s="473"/>
      <c r="M16" s="473"/>
      <c r="N16" s="473"/>
      <c r="O16" s="473"/>
      <c r="S16" s="109"/>
      <c r="T16" s="475"/>
      <c r="U16" s="475"/>
      <c r="V16" s="475"/>
      <c r="W16" s="475"/>
      <c r="X16" s="475"/>
      <c r="Y16" s="475"/>
      <c r="Z16" s="475"/>
      <c r="AA16" s="475"/>
      <c r="AB16" s="475"/>
      <c r="AC16" s="475"/>
      <c r="AD16" s="475"/>
      <c r="AE16" s="475"/>
      <c r="AF16" s="1"/>
      <c r="AG16" s="1"/>
      <c r="AH16" s="1"/>
    </row>
    <row r="17" spans="2:34" ht="15.75" customHeight="1" thickBot="1">
      <c r="B17" s="474"/>
      <c r="C17" s="474"/>
      <c r="D17" s="474"/>
      <c r="E17" s="474"/>
      <c r="F17" s="474"/>
      <c r="G17" s="474"/>
      <c r="H17" s="474"/>
      <c r="I17" s="474"/>
      <c r="J17" s="474"/>
      <c r="K17" s="474"/>
      <c r="L17" s="474"/>
      <c r="M17" s="474"/>
      <c r="N17" s="474"/>
      <c r="O17" s="474"/>
      <c r="S17" s="109"/>
      <c r="T17" s="475"/>
      <c r="U17" s="475"/>
      <c r="V17" s="475"/>
      <c r="W17" s="475"/>
      <c r="X17" s="475"/>
      <c r="Y17" s="475"/>
      <c r="Z17" s="475"/>
      <c r="AA17" s="475"/>
      <c r="AB17" s="475"/>
      <c r="AC17" s="475"/>
      <c r="AD17" s="475"/>
      <c r="AE17" s="475"/>
      <c r="AF17" s="1"/>
      <c r="AG17" s="1"/>
      <c r="AH17" s="1"/>
    </row>
    <row r="18" spans="2:34">
      <c r="S18" s="109"/>
      <c r="T18" s="475"/>
      <c r="U18" s="475"/>
      <c r="V18" s="475"/>
      <c r="W18" s="475"/>
      <c r="X18" s="475"/>
      <c r="Y18" s="475"/>
      <c r="Z18" s="475"/>
      <c r="AA18" s="475"/>
      <c r="AB18" s="475"/>
      <c r="AC18" s="475"/>
      <c r="AD18" s="475"/>
      <c r="AE18" s="475"/>
      <c r="AF18" s="1"/>
      <c r="AG18" s="1"/>
      <c r="AH18" s="1"/>
    </row>
    <row r="19" spans="2:34">
      <c r="S19" s="109"/>
      <c r="T19" s="475"/>
      <c r="U19" s="475"/>
      <c r="V19" s="475"/>
      <c r="W19" s="475"/>
      <c r="X19" s="475"/>
      <c r="Y19" s="475"/>
      <c r="Z19" s="475"/>
      <c r="AA19" s="475"/>
      <c r="AB19" s="475"/>
      <c r="AC19" s="475"/>
      <c r="AD19" s="475"/>
      <c r="AE19" s="475"/>
      <c r="AF19" s="1"/>
      <c r="AG19" s="1"/>
      <c r="AH19" s="1"/>
    </row>
    <row r="20" spans="2:34" ht="19.5" customHeight="1" thickBot="1">
      <c r="B20" s="222"/>
      <c r="C20" s="433" t="s">
        <v>19</v>
      </c>
      <c r="D20" s="433"/>
      <c r="E20" s="433"/>
      <c r="F20" s="433"/>
      <c r="G20" s="433"/>
      <c r="H20" s="433"/>
      <c r="I20" s="223"/>
      <c r="J20" s="222"/>
      <c r="K20" s="222"/>
      <c r="L20" s="222"/>
      <c r="M20" s="222"/>
      <c r="N20" s="222"/>
      <c r="O20" s="222"/>
      <c r="T20" s="475"/>
      <c r="U20" s="475"/>
      <c r="V20" s="475"/>
      <c r="W20" s="475"/>
      <c r="X20" s="475"/>
      <c r="Y20" s="475"/>
      <c r="Z20" s="475"/>
      <c r="AA20" s="475"/>
      <c r="AB20" s="475"/>
      <c r="AC20" s="475"/>
      <c r="AD20" s="475"/>
      <c r="AE20" s="475"/>
      <c r="AF20" s="1"/>
      <c r="AG20" s="1"/>
      <c r="AH20" s="1"/>
    </row>
    <row r="21" spans="2:34" ht="15" customHeight="1">
      <c r="B21" s="1"/>
      <c r="C21" s="111"/>
      <c r="D21" s="111"/>
      <c r="E21" s="111"/>
      <c r="F21" s="111"/>
      <c r="G21" s="111"/>
      <c r="H21" s="111"/>
      <c r="I21" s="44"/>
      <c r="J21" s="1"/>
      <c r="K21" s="1"/>
      <c r="L21" s="1"/>
      <c r="M21" s="1"/>
      <c r="N21" s="1"/>
      <c r="O21" s="1"/>
      <c r="S21" s="109"/>
      <c r="T21" s="107"/>
      <c r="U21" s="107"/>
      <c r="V21" s="107"/>
      <c r="W21" s="107"/>
      <c r="X21" s="107"/>
      <c r="Y21" s="107"/>
      <c r="Z21" s="107"/>
      <c r="AA21" s="107"/>
      <c r="AB21" s="107"/>
      <c r="AC21" s="107"/>
      <c r="AD21" s="107"/>
      <c r="AE21" s="107"/>
      <c r="AF21" s="1"/>
      <c r="AG21" s="1"/>
      <c r="AH21" s="1"/>
    </row>
    <row r="22" spans="2:34" hidden="1">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hidden="1" customHeight="1">
      <c r="B23" s="40"/>
      <c r="C23" s="350" t="s">
        <v>28</v>
      </c>
      <c r="D23" s="350"/>
      <c r="E23" s="350"/>
      <c r="F23" s="350"/>
      <c r="G23" s="350"/>
      <c r="H23" s="350"/>
      <c r="I23" s="350"/>
      <c r="J23" s="40"/>
      <c r="K23" s="40"/>
      <c r="L23" s="40"/>
      <c r="M23" s="40"/>
      <c r="N23" s="40"/>
      <c r="O23" s="40"/>
      <c r="S23" s="109"/>
      <c r="T23" s="25"/>
      <c r="U23" s="435" t="s">
        <v>20</v>
      </c>
      <c r="V23" s="435"/>
      <c r="W23" s="435"/>
      <c r="X23" s="1"/>
      <c r="Y23" s="117" t="s">
        <v>6</v>
      </c>
      <c r="Z23" s="117"/>
      <c r="AA23" s="126"/>
      <c r="AB23" s="117" t="s">
        <v>23</v>
      </c>
      <c r="AC23" s="117"/>
      <c r="AD23" s="126"/>
      <c r="AE23" s="26" t="s">
        <v>24</v>
      </c>
      <c r="AF23" s="1"/>
      <c r="AG23" s="1"/>
      <c r="AH23" s="1"/>
    </row>
    <row r="24" spans="2:34" ht="15" hidden="1" customHeight="1">
      <c r="B24" s="40"/>
      <c r="C24" s="60" t="s">
        <v>7</v>
      </c>
      <c r="D24" s="115" t="s">
        <v>36</v>
      </c>
      <c r="E24" s="115"/>
      <c r="F24" s="115"/>
      <c r="G24" s="115"/>
      <c r="H24" s="115"/>
      <c r="I24" s="115"/>
      <c r="J24" s="45"/>
      <c r="K24" s="45"/>
      <c r="L24" s="45"/>
      <c r="M24" s="40"/>
      <c r="N24" s="40"/>
      <c r="O24" s="40"/>
      <c r="S24" s="109"/>
      <c r="T24" s="436" t="s">
        <v>21</v>
      </c>
      <c r="U24" s="435"/>
      <c r="V24" s="435"/>
      <c r="W24" s="435"/>
      <c r="X24" s="1"/>
      <c r="Y24" s="21">
        <f>'Mon Entreprise'!I81</f>
        <v>0</v>
      </c>
      <c r="Z24" s="21"/>
      <c r="AA24" s="22"/>
      <c r="AB24" s="21">
        <f>IF('Mon Entreprise'!I81-'Mon Entreprise'!M81&lt;0,0,'Mon Entreprise'!I81-'Mon Entreprise'!M81)</f>
        <v>0</v>
      </c>
      <c r="AC24" s="1"/>
      <c r="AD24" s="14"/>
      <c r="AE24" s="27">
        <f>IFERROR(1-'Mon Entreprise'!M81/'Mon Entreprise'!I81,0)</f>
        <v>0</v>
      </c>
      <c r="AF24" s="1"/>
      <c r="AG24" s="1"/>
      <c r="AH24" s="1"/>
    </row>
    <row r="25" spans="2:34" ht="15" hidden="1" customHeight="1">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36" t="s">
        <v>25</v>
      </c>
      <c r="U25" s="435"/>
      <c r="V25" s="435"/>
      <c r="W25" s="435"/>
      <c r="X25" s="1"/>
      <c r="Y25" s="21">
        <f>'Mon Entreprise'!I71*(Annexes!M4-1)/360</f>
        <v>0</v>
      </c>
      <c r="Z25" s="21"/>
      <c r="AA25" s="22"/>
      <c r="AB25" s="21">
        <f>IF('Mon Entreprise'!I71*(Annexes!M4-1)/360-'Mon Entreprise'!M81&lt;0,0,'Mon Entreprise'!I71*(Annexes!M4-1)/360-'Mon Entreprise'!M81)</f>
        <v>0</v>
      </c>
      <c r="AC25" s="7"/>
      <c r="AD25" s="14"/>
      <c r="AE25" s="27">
        <f>IFERROR(1-'Mon Entreprise'!M81/('Mon Entreprise'!I71*(Annexes!M4-1)/360),0)</f>
        <v>0</v>
      </c>
      <c r="AF25" s="1"/>
      <c r="AG25" s="1"/>
      <c r="AH25" s="1"/>
    </row>
    <row r="26" spans="2:34" ht="15" hidden="1" customHeight="1">
      <c r="B26" s="40"/>
      <c r="C26" s="60"/>
      <c r="D26" s="60"/>
      <c r="E26" s="115"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57"/>
      <c r="K26" s="57"/>
      <c r="L26" s="57"/>
      <c r="M26" s="40"/>
      <c r="N26" s="40"/>
      <c r="O26" s="40"/>
      <c r="S26" s="109"/>
      <c r="T26" s="436" t="s">
        <v>22</v>
      </c>
      <c r="U26" s="435"/>
      <c r="V26" s="435"/>
      <c r="W26" s="435"/>
      <c r="X26" s="1"/>
      <c r="Y26" s="23" t="str">
        <f>IFERROR(IF(AND('Mon Entreprise'!K8&gt;=Annexes!Q18,'Mon Entreprise'!K8&lt;=Annexes!Q23),'Mon Entreprise'!I148,IF('Mon Entreprise'!K8&gt;=Annexes!O20,'Mon Entreprise'!I140,"NC")),"NC")</f>
        <v>NC</v>
      </c>
      <c r="Z26" s="23"/>
      <c r="AA26" s="22"/>
      <c r="AB26" s="23" t="str">
        <f>IFERROR(IF(AND('Mon Entreprise'!K8&gt;=Annexes!Q18,'Mon Entreprise'!K8&lt;=Annexes!Q23),IF('Mon Entreprise'!I148-'Mon Entreprise'!I84&lt;0,0,'Mon Entreprise'!I148-'Mon Entreprise'!I84),IF('Mon Entreprise'!K8&gt;=Annexes!O20,IF('Mon Entreprise'!I140-'Mon Entreprise'!I84&lt;0,0,'Mon Entreprise'!I140-'Mon Entreprise'!I84),"NC")),"NC")</f>
        <v>NC</v>
      </c>
      <c r="AC26" s="118"/>
      <c r="AD26" s="14"/>
      <c r="AE26" s="28" t="str">
        <f>IFERROR(IF(AND('Mon Entreprise'!K8&gt;=Annexes!Q18,'Mon Entreprise'!K8&lt;=Annexes!Q24),1-'Mon Entreprise'!I84/'Mon Entreprise'!I148,IF('Mon Entreprise'!K8&gt;=Annexes!O20,1-'Mon Entreprise'!I84/'Mon Entreprise'!I140,"NC")),"NC")</f>
        <v>NC</v>
      </c>
      <c r="AF26" s="1"/>
      <c r="AG26" s="1"/>
      <c r="AH26" s="1"/>
    </row>
    <row r="27" spans="2:34" ht="15" hidden="1" customHeight="1">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489"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490"/>
      <c r="F29" s="490"/>
      <c r="G29" s="490"/>
      <c r="H29" s="490"/>
      <c r="I29" s="490"/>
      <c r="J29" s="490"/>
      <c r="K29" s="490"/>
      <c r="L29" s="490"/>
      <c r="M29" s="490"/>
      <c r="N29" s="490"/>
      <c r="O29" s="491"/>
      <c r="S29" s="109"/>
      <c r="T29" s="14"/>
      <c r="U29" s="448" t="s">
        <v>72</v>
      </c>
      <c r="V29" s="448"/>
      <c r="W29" s="448"/>
      <c r="X29" s="448"/>
      <c r="Y29" s="448"/>
      <c r="Z29" s="129"/>
      <c r="AA29" s="14"/>
      <c r="AB29" s="118" t="str">
        <f>IF('Mon Entreprise'!K8&lt;=Annexes!Q23,"Oui","Non")</f>
        <v>Oui</v>
      </c>
      <c r="AC29" s="1"/>
      <c r="AD29" s="1"/>
      <c r="AE29" s="13"/>
      <c r="AF29" s="1"/>
      <c r="AG29" s="1"/>
      <c r="AH29" s="1"/>
    </row>
    <row r="30" spans="2:34" ht="15" customHeight="1">
      <c r="B30" s="1"/>
      <c r="C30" s="1"/>
      <c r="D30" s="492"/>
      <c r="E30" s="441"/>
      <c r="F30" s="441"/>
      <c r="G30" s="441"/>
      <c r="H30" s="441"/>
      <c r="I30" s="441"/>
      <c r="J30" s="441"/>
      <c r="K30" s="441"/>
      <c r="L30" s="441"/>
      <c r="M30" s="441"/>
      <c r="N30" s="441"/>
      <c r="O30" s="493"/>
      <c r="P30" s="1"/>
      <c r="Q30" s="1"/>
      <c r="R30" s="1"/>
      <c r="S30" s="109"/>
      <c r="T30" s="14"/>
      <c r="U30" s="435" t="s">
        <v>78</v>
      </c>
      <c r="V30" s="435"/>
      <c r="W30" s="435"/>
      <c r="X30" s="435"/>
      <c r="Y30" s="435"/>
      <c r="Z30" s="118"/>
      <c r="AA30" s="14"/>
      <c r="AB30" s="118">
        <f>IF(Annexes!M9=FALSE,0,IF(Annexes!M4=1,0,Annexes!M4-1))</f>
        <v>0</v>
      </c>
      <c r="AC30" s="1"/>
      <c r="AD30" s="1"/>
      <c r="AE30" s="13"/>
      <c r="AF30" s="1"/>
      <c r="AG30" s="1"/>
      <c r="AH30" s="1"/>
    </row>
    <row r="31" spans="2:34" ht="15" customHeight="1">
      <c r="B31" s="1"/>
      <c r="C31" s="1"/>
      <c r="D31" s="492"/>
      <c r="E31" s="441"/>
      <c r="F31" s="441"/>
      <c r="G31" s="441"/>
      <c r="H31" s="441"/>
      <c r="I31" s="441"/>
      <c r="J31" s="441"/>
      <c r="K31" s="441"/>
      <c r="L31" s="441"/>
      <c r="M31" s="441"/>
      <c r="N31" s="441"/>
      <c r="O31" s="493"/>
      <c r="P31" s="1"/>
      <c r="Q31" s="1"/>
      <c r="R31" s="1"/>
      <c r="S31" s="1"/>
      <c r="T31" s="14"/>
      <c r="U31" s="435" t="s">
        <v>79</v>
      </c>
      <c r="V31" s="435"/>
      <c r="W31" s="435"/>
      <c r="X31" s="435"/>
      <c r="Y31" s="435"/>
      <c r="Z31" s="118"/>
      <c r="AA31" s="14"/>
      <c r="AB31" s="118" t="str">
        <f>IF(Annexes!M9=FALSE,"Non",IF(Annexes!M4=1,"Non","Oui"))</f>
        <v>Non</v>
      </c>
      <c r="AC31" s="1"/>
      <c r="AD31" s="1"/>
      <c r="AE31" s="13"/>
      <c r="AF31" s="1"/>
      <c r="AG31" s="1"/>
      <c r="AH31" s="1"/>
    </row>
    <row r="32" spans="2:34" ht="15" customHeight="1">
      <c r="B32" s="1"/>
      <c r="C32" s="1"/>
      <c r="D32" s="492"/>
      <c r="E32" s="441"/>
      <c r="F32" s="441"/>
      <c r="G32" s="441"/>
      <c r="H32" s="441"/>
      <c r="I32" s="441"/>
      <c r="J32" s="441"/>
      <c r="K32" s="441"/>
      <c r="L32" s="441"/>
      <c r="M32" s="441"/>
      <c r="N32" s="441"/>
      <c r="O32" s="493"/>
      <c r="P32" s="1"/>
      <c r="Q32" s="1"/>
      <c r="R32" s="1"/>
      <c r="S32" s="1"/>
      <c r="T32" s="14"/>
      <c r="U32" s="435" t="s">
        <v>89</v>
      </c>
      <c r="V32" s="435"/>
      <c r="W32" s="435"/>
      <c r="X32" s="435"/>
      <c r="Y32" s="435"/>
      <c r="Z32" s="130"/>
      <c r="AA32" s="14"/>
      <c r="AB32" s="118">
        <f>IF('Mon Entreprise'!K8&gt;=Annexes!O20,IF(AB24&gt;=AB26,AB24,AB26),IF(AB24&gt;=AB25,AB24,AB25))</f>
        <v>0</v>
      </c>
      <c r="AC32" s="1"/>
      <c r="AD32" s="1"/>
      <c r="AE32" s="13"/>
      <c r="AF32" s="1"/>
      <c r="AG32" s="1"/>
      <c r="AH32" s="1"/>
    </row>
    <row r="33" spans="2:34" ht="15.75" thickBot="1">
      <c r="B33" s="1"/>
      <c r="C33" s="1"/>
      <c r="D33" s="494"/>
      <c r="E33" s="495"/>
      <c r="F33" s="495"/>
      <c r="G33" s="495"/>
      <c r="H33" s="495"/>
      <c r="I33" s="495"/>
      <c r="J33" s="495"/>
      <c r="K33" s="495"/>
      <c r="L33" s="495"/>
      <c r="M33" s="495"/>
      <c r="N33" s="495"/>
      <c r="O33" s="496"/>
      <c r="P33" s="1"/>
      <c r="Q33" s="1"/>
      <c r="R33" s="1"/>
      <c r="S33" s="1"/>
      <c r="T33" s="14"/>
      <c r="U33" s="1"/>
      <c r="V33" s="1"/>
      <c r="W33" s="1"/>
      <c r="X33" s="1"/>
      <c r="Y33" s="1"/>
      <c r="Z33" s="1"/>
      <c r="AA33" s="1"/>
      <c r="AB33" s="1"/>
      <c r="AC33" s="1"/>
      <c r="AD33" s="1"/>
      <c r="AE33" s="13"/>
      <c r="AF33" s="1"/>
      <c r="AG33" s="1"/>
      <c r="AH33" s="1"/>
    </row>
    <row r="34" spans="2:34">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3"/>
      <c r="C37" s="433" t="s">
        <v>31</v>
      </c>
      <c r="D37" s="433"/>
      <c r="E37" s="433"/>
      <c r="F37" s="433"/>
      <c r="G37" s="433"/>
      <c r="H37" s="433"/>
      <c r="I37" s="223"/>
      <c r="J37" s="223"/>
      <c r="K37" s="223"/>
      <c r="L37" s="223"/>
      <c r="M37" s="223"/>
      <c r="N37" s="223"/>
      <c r="O37" s="223"/>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hidden="1">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hidden="1">
      <c r="B40" s="40"/>
      <c r="C40" s="60"/>
      <c r="D40" s="121" t="s">
        <v>26</v>
      </c>
      <c r="E40" s="40"/>
      <c r="F40" s="40"/>
      <c r="G40" s="40"/>
      <c r="H40" s="40"/>
      <c r="I40" s="40"/>
      <c r="J40" s="40"/>
      <c r="K40" s="40"/>
      <c r="L40" s="40"/>
      <c r="M40" s="40"/>
      <c r="N40" s="40"/>
      <c r="O40" s="40"/>
      <c r="T40" s="25"/>
      <c r="U40" s="435" t="s">
        <v>20</v>
      </c>
      <c r="V40" s="435"/>
      <c r="W40" s="435"/>
      <c r="X40" s="1"/>
      <c r="Y40" s="117" t="s">
        <v>6</v>
      </c>
      <c r="Z40" s="117"/>
      <c r="AA40" s="117"/>
      <c r="AB40" s="117" t="s">
        <v>23</v>
      </c>
      <c r="AC40" s="117"/>
      <c r="AD40" s="117"/>
      <c r="AE40" s="26" t="s">
        <v>24</v>
      </c>
    </row>
    <row r="41" spans="2:34" ht="15.75" thickBot="1">
      <c r="B41" s="40"/>
      <c r="C41" s="60"/>
      <c r="D41" s="40"/>
      <c r="E41" s="40"/>
      <c r="F41" s="40"/>
      <c r="G41" s="40"/>
      <c r="H41" s="40"/>
      <c r="I41" s="40"/>
      <c r="J41" s="40"/>
      <c r="K41" s="40"/>
      <c r="L41" s="40"/>
      <c r="M41" s="40"/>
      <c r="N41" s="40"/>
      <c r="O41" s="40"/>
      <c r="T41" s="25"/>
      <c r="U41" s="117"/>
      <c r="V41" s="117"/>
      <c r="W41" s="117"/>
      <c r="X41" s="1"/>
      <c r="Y41" s="117"/>
      <c r="Z41" s="117"/>
      <c r="AA41" s="117"/>
      <c r="AB41" s="117"/>
      <c r="AC41" s="117"/>
      <c r="AD41" s="117"/>
      <c r="AE41" s="26"/>
    </row>
    <row r="42" spans="2:34">
      <c r="B42" s="40"/>
      <c r="C42" s="40"/>
      <c r="D42" s="489"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490"/>
      <c r="F42" s="490"/>
      <c r="G42" s="490"/>
      <c r="H42" s="490"/>
      <c r="I42" s="490"/>
      <c r="J42" s="490"/>
      <c r="K42" s="490"/>
      <c r="L42" s="490"/>
      <c r="M42" s="490"/>
      <c r="N42" s="490"/>
      <c r="O42" s="491"/>
      <c r="T42" s="436" t="s">
        <v>27</v>
      </c>
      <c r="U42" s="435"/>
      <c r="V42" s="435"/>
      <c r="W42" s="435"/>
      <c r="X42" s="1"/>
      <c r="Y42" s="7">
        <f>'Mon Entreprise'!I87</f>
        <v>0</v>
      </c>
      <c r="Z42" s="21"/>
      <c r="AA42" s="22"/>
      <c r="AB42" s="7">
        <f>IF('Mon Entreprise'!I87-'Mon Entreprise'!M87&lt;0,0,'Mon Entreprise'!I87-'Mon Entreprise'!M87)</f>
        <v>0</v>
      </c>
      <c r="AC42" s="1"/>
      <c r="AD42" s="14"/>
      <c r="AE42" s="27">
        <f>IFERROR(1-'Mon Entreprise'!M87/'Mon Entreprise'!I87,0)</f>
        <v>0</v>
      </c>
    </row>
    <row r="43" spans="2:34" ht="15" customHeight="1">
      <c r="D43" s="492"/>
      <c r="E43" s="441"/>
      <c r="F43" s="441"/>
      <c r="G43" s="441"/>
      <c r="H43" s="441"/>
      <c r="I43" s="441"/>
      <c r="J43" s="441"/>
      <c r="K43" s="441"/>
      <c r="L43" s="441"/>
      <c r="M43" s="441"/>
      <c r="N43" s="441"/>
      <c r="O43" s="493"/>
      <c r="T43" s="436" t="s">
        <v>25</v>
      </c>
      <c r="U43" s="435"/>
      <c r="V43" s="435"/>
      <c r="W43" s="435"/>
      <c r="X43" s="1"/>
      <c r="Y43" s="7">
        <f>'Mon Entreprise'!I73</f>
        <v>0</v>
      </c>
      <c r="Z43" s="21"/>
      <c r="AA43" s="22"/>
      <c r="AB43" s="7">
        <f>IF('Mon Entreprise'!I73-'Mon Entreprise'!M87&lt;0,0,'Mon Entreprise'!I73-'Mon Entreprise'!M87)</f>
        <v>0</v>
      </c>
      <c r="AC43" s="7"/>
      <c r="AD43" s="14"/>
      <c r="AE43" s="27">
        <f>IFERROR(1-'Mon Entreprise'!M87/'Mon Entreprise'!I73,0)</f>
        <v>0</v>
      </c>
    </row>
    <row r="44" spans="2:34" ht="15" customHeight="1">
      <c r="C44" s="104"/>
      <c r="D44" s="492"/>
      <c r="E44" s="441"/>
      <c r="F44" s="441"/>
      <c r="G44" s="441"/>
      <c r="H44" s="441"/>
      <c r="I44" s="441"/>
      <c r="J44" s="441"/>
      <c r="K44" s="441"/>
      <c r="L44" s="441"/>
      <c r="M44" s="441"/>
      <c r="N44" s="441"/>
      <c r="O44" s="493"/>
      <c r="Q44" s="99"/>
      <c r="R44" s="99"/>
      <c r="S44" s="99"/>
      <c r="T44" s="446" t="s">
        <v>22</v>
      </c>
      <c r="U44" s="447"/>
      <c r="V44" s="447"/>
      <c r="W44" s="447"/>
      <c r="X44" s="139"/>
      <c r="Y44" s="140" t="str">
        <f>IF('Mon Entreprise'!I139="","NC",'Mon Entreprise'!I139)</f>
        <v>NC</v>
      </c>
      <c r="Z44" s="141"/>
      <c r="AA44" s="142"/>
      <c r="AB44" s="143" t="str">
        <f>IFERROR(IF('Mon Entreprise'!I139-'Mon Entreprise'!M87&lt;0,0,'Mon Entreprise'!I139-'Mon Entreprise'!M87),"NC")</f>
        <v>NC</v>
      </c>
      <c r="AC44" s="144"/>
      <c r="AD44" s="145"/>
      <c r="AE44" s="146" t="str">
        <f>IFERROR(1-'Mon Entreprise'!M87/'Mon Entreprise'!I139,"NC")</f>
        <v>NC</v>
      </c>
      <c r="AF44" s="99"/>
    </row>
    <row r="45" spans="2:34" ht="15" customHeight="1">
      <c r="C45" s="104"/>
      <c r="D45" s="492"/>
      <c r="E45" s="441"/>
      <c r="F45" s="441"/>
      <c r="G45" s="441"/>
      <c r="H45" s="441"/>
      <c r="I45" s="441"/>
      <c r="J45" s="441"/>
      <c r="K45" s="441"/>
      <c r="L45" s="441"/>
      <c r="M45" s="441"/>
      <c r="N45" s="441"/>
      <c r="O45" s="493"/>
      <c r="T45" s="14"/>
      <c r="U45" s="1"/>
      <c r="V45" s="1"/>
      <c r="W45" s="1"/>
      <c r="X45" s="1"/>
      <c r="Y45" s="1"/>
      <c r="Z45" s="1"/>
      <c r="AA45" s="1"/>
      <c r="AB45" s="1"/>
      <c r="AC45" s="1"/>
      <c r="AD45" s="1"/>
      <c r="AE45" s="13"/>
    </row>
    <row r="46" spans="2:34" ht="15.75" customHeight="1" thickBot="1">
      <c r="C46" s="104"/>
      <c r="D46" s="494"/>
      <c r="E46" s="495"/>
      <c r="F46" s="495"/>
      <c r="G46" s="495"/>
      <c r="H46" s="495"/>
      <c r="I46" s="495"/>
      <c r="J46" s="495"/>
      <c r="K46" s="495"/>
      <c r="L46" s="495"/>
      <c r="M46" s="495"/>
      <c r="N46" s="495"/>
      <c r="O46" s="496"/>
      <c r="T46" s="500" t="s">
        <v>4</v>
      </c>
      <c r="U46" s="448"/>
      <c r="V46" s="448"/>
      <c r="W46" s="448"/>
      <c r="X46" s="448"/>
      <c r="Y46" s="448"/>
      <c r="Z46" s="124"/>
      <c r="AA46" s="14"/>
      <c r="AB46" s="19">
        <f>IFERROR(IF('Mon Entreprise'!K8&lt;Annexes!O17,IF(1-'Mon Entreprise'!M93/'Mon Entreprise'!I93&gt;=1-'Mon Entreprise'!M93/('Mon Entreprise'!I73*2),1-'Mon Entreprise'!M93/'Mon Entreprise'!I93,1-'Mon Entreprise'!M93/('Mon Entreprise'!I73*2)),1-'Mon Entreprise'!M93/'Mon Entreprise'!I153),0)</f>
        <v>0</v>
      </c>
      <c r="AC46" s="1"/>
      <c r="AD46" s="1"/>
      <c r="AE46" s="13"/>
    </row>
    <row r="47" spans="2:34" ht="18.75" hidden="1" customHeight="1">
      <c r="C47" s="80"/>
      <c r="D47" s="80"/>
      <c r="E47" s="80"/>
      <c r="F47" s="80"/>
      <c r="G47" s="80"/>
      <c r="H47" s="80"/>
      <c r="I47" s="80"/>
      <c r="J47" s="80"/>
      <c r="K47" s="80"/>
      <c r="L47" s="80"/>
      <c r="M47" s="80"/>
      <c r="N47" s="80"/>
      <c r="O47" s="80"/>
      <c r="T47" s="14"/>
      <c r="U47" s="448" t="s">
        <v>8</v>
      </c>
      <c r="V47" s="448"/>
      <c r="W47" s="448"/>
      <c r="X47" s="448"/>
      <c r="Y47" s="448"/>
      <c r="Z47" s="124"/>
      <c r="AA47" s="14"/>
      <c r="AB47" s="179" t="str">
        <f>IF((AND(Annexes!F5&gt;1,Annexes!F5&lt;=Annexes!H6)),"OUI","NON")</f>
        <v>NON</v>
      </c>
      <c r="AC47" s="1"/>
      <c r="AD47" s="1"/>
      <c r="AE47" s="13"/>
    </row>
    <row r="48" spans="2:34" ht="15" hidden="1" customHeight="1">
      <c r="T48" s="14"/>
      <c r="U48" s="502" t="s">
        <v>9</v>
      </c>
      <c r="V48" s="502"/>
      <c r="W48" s="502"/>
      <c r="X48" s="502"/>
      <c r="Y48" s="502"/>
      <c r="Z48" s="125"/>
      <c r="AA48" s="14"/>
      <c r="AB48" s="179" t="str">
        <f>IF((AND(Annexes!F7&gt;1,Annexes!F7&lt;=Annexes!H8)),"OUI","NON")</f>
        <v>NON</v>
      </c>
      <c r="AC48" s="1"/>
      <c r="AD48" s="1"/>
      <c r="AE48" s="13"/>
    </row>
    <row r="49" spans="3:31" ht="15" hidden="1" customHeight="1">
      <c r="C49" s="497" t="s">
        <v>400</v>
      </c>
      <c r="D49" s="497"/>
      <c r="E49" s="497"/>
      <c r="F49" s="497"/>
      <c r="G49" s="497"/>
      <c r="H49" s="497"/>
      <c r="I49" s="497"/>
      <c r="J49" s="497"/>
      <c r="K49" s="497"/>
      <c r="L49" s="497"/>
      <c r="M49" s="497"/>
      <c r="N49" s="497"/>
      <c r="O49" s="497"/>
      <c r="T49" s="14"/>
      <c r="U49" s="448" t="s">
        <v>71</v>
      </c>
      <c r="V49" s="448"/>
      <c r="W49" s="448"/>
      <c r="X49" s="448"/>
      <c r="Y49" s="448"/>
      <c r="Z49" s="124"/>
      <c r="AA49" s="14"/>
      <c r="AB49" s="179">
        <f>IF(AB47="OUI",Annexes!O6,IF(AND(AB48="OUI",AB46&gt;=0.8),Annexes!O6,Annexes!O5))</f>
        <v>1500</v>
      </c>
      <c r="AC49" s="1"/>
      <c r="AD49" s="1"/>
      <c r="AE49" s="13"/>
    </row>
    <row r="50" spans="3:31" ht="15" hidden="1" customHeight="1">
      <c r="C50" s="497"/>
      <c r="D50" s="497"/>
      <c r="E50" s="497"/>
      <c r="F50" s="497"/>
      <c r="G50" s="497"/>
      <c r="H50" s="497"/>
      <c r="I50" s="497"/>
      <c r="J50" s="497"/>
      <c r="K50" s="497"/>
      <c r="L50" s="497"/>
      <c r="M50" s="497"/>
      <c r="N50" s="497"/>
      <c r="O50" s="497"/>
      <c r="T50" s="14"/>
      <c r="U50" s="448" t="s">
        <v>72</v>
      </c>
      <c r="V50" s="448"/>
      <c r="W50" s="448"/>
      <c r="X50" s="448"/>
      <c r="Y50" s="448"/>
      <c r="Z50" s="124"/>
      <c r="AA50" s="14"/>
      <c r="AB50" s="179" t="str">
        <f>IF('Mon Entreprise'!K8&lt;=Annexes!Q24,"Oui","Non")</f>
        <v>Oui</v>
      </c>
      <c r="AC50" s="1"/>
      <c r="AD50" s="1"/>
      <c r="AE50" s="13"/>
    </row>
    <row r="51" spans="3:31" ht="15" hidden="1" customHeight="1">
      <c r="C51" s="58"/>
      <c r="D51" s="121" t="str">
        <f>IF(Annexes!M13=FALSE,"-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448" t="s">
        <v>84</v>
      </c>
      <c r="V51" s="448"/>
      <c r="W51" s="448"/>
      <c r="X51" s="448"/>
      <c r="Y51" s="448"/>
      <c r="Z51" s="124"/>
      <c r="AA51" s="14"/>
      <c r="AB51" s="179">
        <f>IF('Mon Entreprise'!K8&gt;=Annexes!O20,IF(AB42&gt;=AB44,AB42,AB44),IF(AB42&gt;=AB43,AB42,AB43))</f>
        <v>0</v>
      </c>
      <c r="AC51" s="1"/>
      <c r="AD51" s="1"/>
      <c r="AE51" s="13"/>
    </row>
    <row r="52" spans="3:31" ht="15" hidden="1" customHeight="1">
      <c r="C52" s="58"/>
      <c r="D52" s="498"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498"/>
      <c r="F52" s="498"/>
      <c r="G52" s="498"/>
      <c r="H52" s="498"/>
      <c r="I52" s="498"/>
      <c r="J52" s="498"/>
      <c r="K52" s="498"/>
      <c r="L52" s="498"/>
      <c r="M52" s="498"/>
      <c r="N52" s="498"/>
      <c r="O52" s="498"/>
      <c r="T52" s="14"/>
      <c r="U52" s="448" t="s">
        <v>85</v>
      </c>
      <c r="V52" s="448"/>
      <c r="W52" s="448"/>
      <c r="X52" s="448"/>
      <c r="Y52" s="448"/>
      <c r="Z52" s="124"/>
      <c r="AA52" s="14"/>
      <c r="AB52" s="19">
        <f>IF('Mon Entreprise'!K8&gt;=Annexes!O20,IF(AB42&gt;=AB44,AE42,AE44),IF(AB42&gt;=AB43,AE42,AE43))</f>
        <v>0</v>
      </c>
      <c r="AC52" s="1"/>
      <c r="AD52" s="1"/>
      <c r="AE52" s="13"/>
    </row>
    <row r="53" spans="3:31" ht="15" hidden="1" customHeight="1">
      <c r="C53" s="58"/>
      <c r="D53" s="498"/>
      <c r="E53" s="498"/>
      <c r="F53" s="498"/>
      <c r="G53" s="498"/>
      <c r="H53" s="498"/>
      <c r="I53" s="498"/>
      <c r="J53" s="498"/>
      <c r="K53" s="498"/>
      <c r="L53" s="498"/>
      <c r="M53" s="498"/>
      <c r="N53" s="498"/>
      <c r="O53" s="498"/>
      <c r="T53" s="14"/>
      <c r="U53" s="448" t="s">
        <v>73</v>
      </c>
      <c r="V53" s="448"/>
      <c r="W53" s="448"/>
      <c r="X53" s="448"/>
      <c r="Y53" s="448"/>
      <c r="Z53" s="124"/>
      <c r="AA53" s="14"/>
      <c r="AB53" s="179">
        <f>IF(AB52&gt;=0.7,IF(AB47="OUI",Annexes!O6,IF(AND(AB48="OUI",AB46&gt;=0.8),Annexes!O6,0)),IF(AB52&gt;=0.5,IF(AB47="OUI",Annexes!O5,IF(AND(AB48="OUI",AB46&gt;=0.8),Annexes!O5,0)),0))</f>
        <v>0</v>
      </c>
      <c r="AC53" s="1"/>
      <c r="AD53" s="1"/>
      <c r="AE53" s="13"/>
    </row>
    <row r="54" spans="3:31" ht="15" hidden="1" customHeight="1">
      <c r="C54" s="58"/>
      <c r="D54"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448" t="s">
        <v>74</v>
      </c>
      <c r="V54" s="448"/>
      <c r="W54" s="448"/>
      <c r="X54" s="448"/>
      <c r="Y54" s="448"/>
      <c r="Z54" s="124"/>
      <c r="AA54" s="14"/>
      <c r="AB54" s="179">
        <f>IF(AB52&gt;=0.7,IF(AB47="OUI",Annexes!P6,IF(AND(AB48="OUI",AB46&gt;=0.8),Annexes!P6,1)),1)</f>
        <v>1</v>
      </c>
      <c r="AC54" s="1"/>
      <c r="AD54" s="1"/>
      <c r="AE54" s="13"/>
    </row>
    <row r="55" spans="3:31" ht="15" hidden="1" customHeight="1" thickBot="1">
      <c r="C55" s="58"/>
      <c r="D55" s="58"/>
      <c r="E55" s="58"/>
      <c r="F55" s="58"/>
      <c r="G55" s="58"/>
      <c r="H55" s="58"/>
      <c r="I55" s="58"/>
      <c r="J55" s="58"/>
      <c r="K55" s="58"/>
      <c r="L55" s="58"/>
      <c r="M55" s="58"/>
      <c r="N55" s="58"/>
      <c r="O55" s="58"/>
      <c r="T55" s="14"/>
      <c r="U55" s="435" t="s">
        <v>80</v>
      </c>
      <c r="V55" s="435"/>
      <c r="W55" s="435"/>
      <c r="X55" s="435"/>
      <c r="Y55" s="435"/>
      <c r="Z55" s="1"/>
      <c r="AA55" s="14"/>
      <c r="AB55" s="179">
        <f>IF('Mon Entreprise'!K8&gt;=Annexes!O20,IF(AB42&gt;=AB44,Y42,Y44),IF(AB42&gt;=AB43,Y42,Y43))</f>
        <v>0</v>
      </c>
      <c r="AC55" s="1"/>
      <c r="AD55" s="1"/>
      <c r="AE55" s="13"/>
    </row>
    <row r="56" spans="3:31" ht="15.75" hidden="1" customHeight="1">
      <c r="D56" s="450" t="str">
        <f>IFERROR(IF(AB50="Non","Vous avez débuté votre activité après le 30 Septembre 2020, vous ne pouvez donc pas bénéficier de cette aide",IF(Annexes!M13=FALSE,"L'entreprise ne semble pas avoir été impactée par le couvre-Feu de 21H à 6H",IF(AB52&gt;=0.5,IF(AB49=Annexes!O6,IF(AB51&gt;=Annexes!O6,"Dans votre cas, l'aide est Plafonnée, à "&amp;Annexes!O6&amp;" € pour le mois d'octobre",IF(AB51=0,"Vous n'avez pas indiqué de CA de référence","Vous pouvez bénéficier, au titre de cette aide, d'un montant de "&amp;ROUND(AB51,0)&amp;" € pour le mois d'octobre")),IF(AB49=Annexes!O5,IF(AB51&gt;Annexes!O5,"Dans votre cas, l'aide est Plafonnée, à "&amp;Annexes!O5&amp;"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451"/>
      <c r="F56" s="451"/>
      <c r="G56" s="451"/>
      <c r="H56" s="451"/>
      <c r="I56" s="451"/>
      <c r="J56" s="451"/>
      <c r="K56" s="451"/>
      <c r="L56" s="451"/>
      <c r="M56" s="451"/>
      <c r="N56" s="451"/>
      <c r="O56" s="452"/>
      <c r="T56" s="14"/>
      <c r="U56" s="435" t="s">
        <v>401</v>
      </c>
      <c r="V56" s="435"/>
      <c r="W56" s="435"/>
      <c r="X56" s="435"/>
      <c r="Y56" s="435"/>
      <c r="Z56" s="1"/>
      <c r="AA56" s="14"/>
      <c r="AB56" s="179">
        <f>IFERROR(IF(AB51&gt;AB55*AB54,IF(AND(AB51&gt;1500,1500&gt;AB55*AB54),1500,IF(1500&gt;AB51,AB51,AB55*AB54)),AB51),0)</f>
        <v>0</v>
      </c>
      <c r="AC56" s="1"/>
      <c r="AD56" s="1"/>
      <c r="AE56" s="13"/>
    </row>
    <row r="57" spans="3:31" ht="15" hidden="1" customHeight="1">
      <c r="D57" s="453"/>
      <c r="E57" s="454"/>
      <c r="F57" s="454"/>
      <c r="G57" s="454"/>
      <c r="H57" s="454"/>
      <c r="I57" s="454"/>
      <c r="J57" s="454"/>
      <c r="K57" s="454"/>
      <c r="L57" s="454"/>
      <c r="M57" s="454"/>
      <c r="N57" s="454"/>
      <c r="O57" s="455"/>
      <c r="T57" s="14"/>
      <c r="U57" s="1"/>
      <c r="V57" s="1"/>
      <c r="W57" s="1"/>
      <c r="X57" s="1"/>
      <c r="Y57" s="1"/>
      <c r="Z57" s="1"/>
      <c r="AA57" s="1"/>
      <c r="AB57" s="1"/>
      <c r="AC57" s="1"/>
      <c r="AD57" s="1"/>
      <c r="AE57" s="13"/>
    </row>
    <row r="58" spans="3:31" ht="15" hidden="1" customHeight="1">
      <c r="D58" s="453"/>
      <c r="E58" s="454"/>
      <c r="F58" s="454"/>
      <c r="G58" s="454"/>
      <c r="H58" s="454"/>
      <c r="I58" s="454"/>
      <c r="J58" s="454"/>
      <c r="K58" s="454"/>
      <c r="L58" s="454"/>
      <c r="M58" s="454"/>
      <c r="N58" s="454"/>
      <c r="O58" s="455"/>
      <c r="T58" s="14"/>
      <c r="U58" s="1"/>
      <c r="V58" s="1"/>
      <c r="W58" s="1"/>
      <c r="X58" s="1"/>
      <c r="Y58" s="1"/>
      <c r="Z58" s="1"/>
      <c r="AA58" s="1"/>
      <c r="AB58" s="1"/>
      <c r="AC58" s="1"/>
      <c r="AD58" s="1"/>
      <c r="AE58" s="13"/>
    </row>
    <row r="59" spans="3:31" ht="15" hidden="1" customHeight="1" thickBot="1">
      <c r="D59" s="456"/>
      <c r="E59" s="457"/>
      <c r="F59" s="457"/>
      <c r="G59" s="457"/>
      <c r="H59" s="457"/>
      <c r="I59" s="457"/>
      <c r="J59" s="457"/>
      <c r="K59" s="457"/>
      <c r="L59" s="457"/>
      <c r="M59" s="457"/>
      <c r="N59" s="457"/>
      <c r="O59" s="458"/>
      <c r="T59" s="14"/>
      <c r="U59" s="1"/>
      <c r="V59" s="1"/>
      <c r="W59" s="1"/>
      <c r="X59" s="1"/>
      <c r="Y59" s="1"/>
      <c r="Z59" s="1"/>
      <c r="AA59" s="1"/>
      <c r="AB59" s="1"/>
      <c r="AC59" s="1"/>
      <c r="AD59" s="1"/>
      <c r="AE59" s="13"/>
    </row>
    <row r="60" spans="3:31" ht="15.75" hidden="1" customHeight="1">
      <c r="C60" s="78"/>
      <c r="D60" s="78"/>
      <c r="E60" s="78"/>
      <c r="F60" s="78"/>
      <c r="G60" s="78"/>
      <c r="H60" s="78"/>
      <c r="I60" s="78"/>
      <c r="J60" s="78"/>
      <c r="K60" s="78"/>
      <c r="L60" s="78"/>
      <c r="M60" s="78"/>
      <c r="N60" s="78"/>
      <c r="O60" s="78"/>
      <c r="T60" s="14"/>
      <c r="U60" s="435" t="s">
        <v>75</v>
      </c>
      <c r="V60" s="435"/>
      <c r="W60" s="435"/>
      <c r="X60" s="435"/>
      <c r="Y60" s="435"/>
      <c r="Z60" s="1"/>
      <c r="AA60" s="14"/>
      <c r="AB60" s="1">
        <f>IFERROR(IF(AB50="Non",0,IF(Annexes!M13=FALSE,0,IF(AB52&gt;=0.5,IF(AB49=Annexes!O6,IF(AB51&gt;=Annexes!O6,Annexes!O6,IF(AB51=0,0,ROUND(AB51,0))),IF(AB49=Annexes!O5,IF(AB51&gt;Annexes!O5,Annexes!O5,IF(AB51=0,0,ROUND(AB51,0))),)),0))),0)</f>
        <v>0</v>
      </c>
      <c r="AC60" s="1"/>
      <c r="AD60" s="1"/>
      <c r="AE60" s="13"/>
    </row>
    <row r="61" spans="3:31" ht="15" hidden="1" customHeight="1">
      <c r="T61" s="14"/>
      <c r="U61" s="435" t="s">
        <v>76</v>
      </c>
      <c r="V61" s="435"/>
      <c r="W61" s="435"/>
      <c r="X61" s="435"/>
      <c r="Y61" s="435"/>
      <c r="Z61" s="1"/>
      <c r="AA61" s="14"/>
      <c r="AB61" s="1">
        <f>IFERROR(IF(AB50="Non",0,IF(AB52&gt;=0.7,IF(AB47="OUI",IF(AB56&gt;=Annexes!O6,Annexes!O6,ROUND(AB56,0)),IF(AND(AB48="OUI",AB46&gt;=0.8),IF(AB56&gt;=Annexes!O6,Annexes!O6,ROUND(AB56,0)),0)),IF(AB52&gt;=0.5,IF(AB47="OUI",IF(AB51&gt;=Annexes!O5,Annexes!O5,ROUND(AB51,0)),IF(AND(AB48="OUI",AB46&gt;=0.8),IF(AB51&gt;=Annexes!O5,Annexes!O5,ROUND(AB51,0)),0)),0))),0)</f>
        <v>0</v>
      </c>
      <c r="AC61" s="1"/>
      <c r="AD61" s="1"/>
      <c r="AE61" s="13"/>
    </row>
    <row r="62" spans="3:31" ht="15" hidden="1" customHeight="1">
      <c r="C62" s="485" t="s">
        <v>402</v>
      </c>
      <c r="D62" s="485"/>
      <c r="E62" s="485"/>
      <c r="F62" s="485"/>
      <c r="G62" s="485"/>
      <c r="H62" s="485"/>
      <c r="I62" s="485"/>
      <c r="J62" s="485"/>
      <c r="K62" s="485"/>
      <c r="L62" s="485"/>
      <c r="M62" s="485"/>
      <c r="N62" s="485"/>
      <c r="O62" s="485"/>
      <c r="P62" s="40"/>
      <c r="T62" s="14"/>
      <c r="U62" s="435" t="s">
        <v>77</v>
      </c>
      <c r="V62" s="435"/>
      <c r="W62" s="435"/>
      <c r="X62" s="435"/>
      <c r="Y62" s="435"/>
      <c r="Z62" s="1"/>
      <c r="AA62" s="14"/>
      <c r="AB62" s="1">
        <f>IFERROR(IF(AB82="NON",0,IF(AB84="Non",0,IF(AB85&gt;Annexes!O7*(Annexes!M6-1),IF(Annexes!O7*(Annexes!M6-1)&gt;10000,10000,Annexes!O7*(Annexes!M6-1)),ROUND(IF(AB85&gt;10000,10000,AB85),0)))),0)</f>
        <v>0</v>
      </c>
      <c r="AC62" s="1"/>
      <c r="AD62" s="1"/>
      <c r="AE62" s="13"/>
    </row>
    <row r="63" spans="3:31" ht="15" hidden="1" customHeight="1">
      <c r="C63" s="485"/>
      <c r="D63" s="485"/>
      <c r="E63" s="485"/>
      <c r="F63" s="485"/>
      <c r="G63" s="485"/>
      <c r="H63" s="485"/>
      <c r="I63" s="485"/>
      <c r="J63" s="485"/>
      <c r="K63" s="485"/>
      <c r="L63" s="485"/>
      <c r="M63" s="485"/>
      <c r="N63" s="485"/>
      <c r="O63" s="485"/>
      <c r="P63" s="40"/>
      <c r="T63" s="14"/>
      <c r="U63" s="1"/>
      <c r="V63" s="1"/>
      <c r="W63" s="1"/>
      <c r="X63" s="1"/>
      <c r="Y63" s="1"/>
      <c r="Z63" s="1"/>
      <c r="AA63" s="1"/>
      <c r="AB63" s="1"/>
      <c r="AC63" s="1"/>
      <c r="AD63" s="1"/>
      <c r="AE63" s="13"/>
    </row>
    <row r="64" spans="3:31" ht="15" hidden="1" customHeight="1">
      <c r="C64" s="60"/>
      <c r="D64" s="501"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4" s="501"/>
      <c r="F64" s="501"/>
      <c r="G64" s="501"/>
      <c r="H64" s="501"/>
      <c r="I64" s="501"/>
      <c r="J64" s="501"/>
      <c r="K64" s="501"/>
      <c r="L64" s="501"/>
      <c r="M64" s="501"/>
      <c r="N64" s="501"/>
      <c r="O64" s="501"/>
      <c r="P64" s="40"/>
      <c r="T64" s="14"/>
      <c r="U64" s="1"/>
      <c r="V64" s="1"/>
      <c r="W64" s="1"/>
      <c r="X64" s="1"/>
      <c r="Y64" s="1"/>
      <c r="Z64" s="1"/>
      <c r="AA64" s="1"/>
      <c r="AB64" s="1"/>
      <c r="AC64" s="1"/>
      <c r="AD64" s="1"/>
      <c r="AE64" s="13"/>
    </row>
    <row r="65" spans="2:31" ht="15" hidden="1" customHeight="1">
      <c r="C65" s="60"/>
      <c r="D65" s="501"/>
      <c r="E65" s="501"/>
      <c r="F65" s="501"/>
      <c r="G65" s="501"/>
      <c r="H65" s="501"/>
      <c r="I65" s="501"/>
      <c r="J65" s="501"/>
      <c r="K65" s="501"/>
      <c r="L65" s="501"/>
      <c r="M65" s="501"/>
      <c r="N65" s="501"/>
      <c r="O65" s="501"/>
      <c r="P65" s="40"/>
      <c r="T65" s="14"/>
      <c r="U65" s="1"/>
      <c r="V65" s="1"/>
      <c r="W65" s="1"/>
      <c r="X65" s="1"/>
      <c r="Y65" s="1"/>
      <c r="Z65" s="1"/>
      <c r="AA65" s="1"/>
      <c r="AB65" s="1"/>
      <c r="AC65" s="1"/>
      <c r="AD65" s="1"/>
      <c r="AE65" s="13"/>
    </row>
    <row r="66" spans="2:31" ht="15" hidden="1" customHeight="1">
      <c r="C66" s="60"/>
      <c r="D66"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6" s="60"/>
      <c r="F66" s="60"/>
      <c r="G66" s="60"/>
      <c r="H66" s="122"/>
      <c r="I66" s="60"/>
      <c r="J66" s="60"/>
      <c r="K66" s="60"/>
      <c r="M66" s="60"/>
      <c r="N66" s="60"/>
      <c r="O66" s="60"/>
      <c r="P66" s="40"/>
      <c r="T66" s="119"/>
      <c r="U66" s="1"/>
      <c r="V66" s="1"/>
      <c r="W66" s="1"/>
      <c r="X66" s="1"/>
      <c r="Y66" s="1"/>
      <c r="Z66" s="1"/>
      <c r="AA66" s="1"/>
      <c r="AB66" s="1"/>
      <c r="AC66" s="1"/>
      <c r="AD66" s="1"/>
      <c r="AE66" s="13"/>
    </row>
    <row r="67" spans="2:31" ht="15" hidden="1" customHeight="1">
      <c r="C67" s="60"/>
      <c r="D67"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7" s="60"/>
      <c r="F67" s="60"/>
      <c r="G67" s="60"/>
      <c r="H67" s="60"/>
      <c r="I67" s="60"/>
      <c r="J67" s="60"/>
      <c r="K67" s="60"/>
      <c r="L67" s="60"/>
      <c r="M67" s="60"/>
      <c r="N67" s="60"/>
      <c r="O67" s="60"/>
      <c r="P67" s="40"/>
      <c r="T67" s="29"/>
      <c r="U67" s="1"/>
      <c r="V67" s="1"/>
      <c r="W67" s="1"/>
      <c r="X67" s="1"/>
      <c r="Y67" s="1"/>
      <c r="Z67" s="1"/>
      <c r="AA67" s="1"/>
      <c r="AB67" s="1"/>
      <c r="AC67" s="1"/>
      <c r="AD67" s="1"/>
      <c r="AE67" s="13"/>
    </row>
    <row r="68" spans="2:31" ht="15" hidden="1" customHeight="1" thickBot="1">
      <c r="T68" s="14"/>
      <c r="U68" s="1"/>
      <c r="V68" s="1"/>
      <c r="W68" s="1"/>
      <c r="X68" s="1"/>
      <c r="Y68" s="1"/>
      <c r="Z68" s="1"/>
      <c r="AA68" s="1"/>
      <c r="AB68" s="1"/>
      <c r="AC68" s="1"/>
      <c r="AD68" s="1"/>
      <c r="AE68" s="13"/>
    </row>
    <row r="69" spans="2:31" ht="15" hidden="1" customHeight="1">
      <c r="D69" s="450" t="str">
        <f>IFERROR(IF(AB50="Non","Vous avez débuté votre activité après le 30 Septembre 2020, vous ne pouvez donc pas bénéficier de cette aide",IF(AB52&gt;=0.7,IF(AB47="OUI",IF(AB56&gt;=Annexes!O6,"Dans votre cas, l'aide est Plafonnée, à "&amp;Annexes!O6&amp;" € pour le mois d'octobre","Vous pouvez bénéficier, au titre de cette aide, d'un montant de "&amp;ROUND(AB56,0)&amp;" € pour le mois d'octobre"),IF(AND(AB48="OUI",AB46&gt;=0.8),IF(AB56&gt;=Annexes!O6,"Dans votre cas, l'aide est Plafonnée, à "&amp;Annexes!O6&amp;"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aide")),IF(AB52&gt;=0.5,IF(AB47="OUI",IF(AB51&gt;=Annexes!O5,"Dans votre cas, l'aide est Plafonnée, à "&amp;Annexes!O5&amp;" € pour le mois d'octobre","Vous pouvez bénéficier, au titre de cette aide, d'un montant de "&amp;ROUND(AB51,0)&amp;" € pour le mois d'octobre"),IF(AND(AB48="OUI",AB46&gt;=0.8),IF(AB51&gt;=Annexes!O5,"Dans votre cas, l'aide est Plafonnée, à "&amp;Annexes!O5&amp;"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9" s="451"/>
      <c r="F69" s="451"/>
      <c r="G69" s="451"/>
      <c r="H69" s="451"/>
      <c r="I69" s="451"/>
      <c r="J69" s="451"/>
      <c r="K69" s="451"/>
      <c r="L69" s="451"/>
      <c r="M69" s="451"/>
      <c r="N69" s="451"/>
      <c r="O69" s="452"/>
      <c r="T69" s="30"/>
      <c r="U69" s="1"/>
      <c r="V69" s="1"/>
      <c r="W69" s="1"/>
      <c r="X69" s="1"/>
      <c r="Y69" s="1"/>
      <c r="Z69" s="1"/>
      <c r="AA69" s="1"/>
      <c r="AB69" s="1"/>
      <c r="AC69" s="1"/>
      <c r="AD69" s="1"/>
      <c r="AE69" s="13"/>
    </row>
    <row r="70" spans="2:31" ht="15" hidden="1" customHeight="1">
      <c r="D70" s="453"/>
      <c r="E70" s="454"/>
      <c r="F70" s="454"/>
      <c r="G70" s="454"/>
      <c r="H70" s="454"/>
      <c r="I70" s="454"/>
      <c r="J70" s="454"/>
      <c r="K70" s="454"/>
      <c r="L70" s="454"/>
      <c r="M70" s="454"/>
      <c r="N70" s="454"/>
      <c r="O70" s="455"/>
      <c r="T70" s="20"/>
      <c r="U70" s="38"/>
      <c r="V70" s="1"/>
      <c r="W70" s="1"/>
      <c r="X70" s="1"/>
      <c r="Y70" s="1"/>
      <c r="Z70" s="1"/>
      <c r="AA70" s="1"/>
      <c r="AB70" s="1"/>
      <c r="AC70" s="1"/>
      <c r="AD70" s="1"/>
      <c r="AE70" s="13"/>
    </row>
    <row r="71" spans="2:31" ht="15.75" hidden="1" customHeight="1">
      <c r="D71" s="453"/>
      <c r="E71" s="454"/>
      <c r="F71" s="454"/>
      <c r="G71" s="454"/>
      <c r="H71" s="454"/>
      <c r="I71" s="454"/>
      <c r="J71" s="454"/>
      <c r="K71" s="454"/>
      <c r="L71" s="454"/>
      <c r="M71" s="454"/>
      <c r="N71" s="454"/>
      <c r="O71" s="455"/>
      <c r="T71" s="14"/>
      <c r="U71" s="1"/>
      <c r="V71" s="1"/>
      <c r="W71" s="1"/>
      <c r="X71" s="1"/>
      <c r="Y71" s="1"/>
      <c r="Z71" s="1"/>
      <c r="AA71" s="1"/>
      <c r="AB71" s="1"/>
      <c r="AC71" s="1"/>
      <c r="AD71" s="1"/>
      <c r="AE71" s="13"/>
    </row>
    <row r="72" spans="2:31" ht="15.75" hidden="1" customHeight="1" thickBot="1">
      <c r="D72" s="456"/>
      <c r="E72" s="457"/>
      <c r="F72" s="457"/>
      <c r="G72" s="457"/>
      <c r="H72" s="457"/>
      <c r="I72" s="457"/>
      <c r="J72" s="457"/>
      <c r="K72" s="457"/>
      <c r="L72" s="457"/>
      <c r="M72" s="457"/>
      <c r="N72" s="457"/>
      <c r="O72" s="458"/>
      <c r="T72" s="14"/>
      <c r="U72" s="1"/>
      <c r="V72" s="1"/>
      <c r="W72" s="1"/>
      <c r="X72" s="1"/>
      <c r="Y72" s="1"/>
      <c r="Z72" s="1"/>
      <c r="AA72" s="1"/>
      <c r="AB72" s="1"/>
      <c r="AC72" s="1"/>
      <c r="AD72" s="1"/>
      <c r="AE72" s="13"/>
    </row>
    <row r="73" spans="2:31" ht="15" hidden="1" customHeight="1">
      <c r="C73" s="127"/>
      <c r="D73" s="127"/>
      <c r="E73" s="10"/>
      <c r="F73" s="10"/>
      <c r="G73" s="10"/>
      <c r="H73" s="10"/>
      <c r="I73" s="10"/>
      <c r="J73" s="10"/>
      <c r="K73" s="10"/>
      <c r="L73" s="10"/>
      <c r="M73" s="128"/>
      <c r="N73" s="10"/>
      <c r="O73" s="10"/>
      <c r="T73" s="14"/>
      <c r="U73" s="1"/>
      <c r="V73" s="1"/>
      <c r="W73" s="1"/>
      <c r="X73" s="1"/>
      <c r="Y73" s="1"/>
      <c r="Z73" s="1"/>
      <c r="AA73" s="1"/>
      <c r="AB73" s="1"/>
      <c r="AC73" s="1"/>
      <c r="AD73" s="1"/>
      <c r="AE73" s="13"/>
    </row>
    <row r="74" spans="2:31" ht="15" hidden="1" customHeight="1">
      <c r="B74" s="5"/>
      <c r="C74" s="5"/>
      <c r="D74" s="5"/>
      <c r="P74" s="1"/>
      <c r="T74" s="14"/>
      <c r="U74" s="1"/>
      <c r="V74" s="1"/>
      <c r="W74" s="1"/>
      <c r="X74" s="1"/>
      <c r="Y74" s="1"/>
      <c r="Z74" s="1"/>
      <c r="AA74" s="1"/>
      <c r="AB74" s="1"/>
      <c r="AC74" s="1"/>
      <c r="AD74" s="1"/>
      <c r="AE74" s="13"/>
    </row>
    <row r="75" spans="2:31" ht="15.75" hidden="1" customHeight="1">
      <c r="B75" s="58"/>
      <c r="C75" s="121" t="s">
        <v>63</v>
      </c>
      <c r="D75" s="121"/>
      <c r="E75" s="60"/>
      <c r="F75" s="60"/>
      <c r="G75" s="60"/>
      <c r="H75" s="60"/>
      <c r="I75" s="60"/>
      <c r="J75" s="60"/>
      <c r="K75" s="60"/>
      <c r="L75" s="116"/>
      <c r="M75" s="60"/>
      <c r="N75" s="60"/>
      <c r="O75" s="60"/>
      <c r="P75" s="44"/>
      <c r="T75" s="14"/>
      <c r="U75" s="1"/>
      <c r="V75" s="1"/>
      <c r="W75" s="1"/>
      <c r="X75" s="1"/>
      <c r="Y75" s="1"/>
      <c r="Z75" s="1"/>
      <c r="AA75" s="1"/>
      <c r="AB75" s="1"/>
      <c r="AC75" s="1"/>
      <c r="AD75" s="1"/>
      <c r="AE75" s="13"/>
    </row>
    <row r="76" spans="2:31" ht="15" hidden="1" customHeight="1">
      <c r="B76" s="40"/>
      <c r="C76" s="60"/>
      <c r="D76" s="60" t="str">
        <f>"- Nombre de jours de fermetures au mois d'octobre : "&amp;IF(Annexes!M9=FALSE,0,IF(Annexes!M6=1,0,Annexes!M6-1))&amp;" jour(s)"</f>
        <v>- Nombre de jours de fermetures au mois d'octobre : 0 jour(s)</v>
      </c>
      <c r="E76" s="60"/>
      <c r="F76" s="60"/>
      <c r="G76" s="60"/>
      <c r="H76" s="60"/>
      <c r="I76" s="60"/>
      <c r="J76" s="60"/>
      <c r="K76" s="60"/>
      <c r="L76" s="60"/>
      <c r="M76" s="60"/>
      <c r="N76" s="60"/>
      <c r="O76" s="60"/>
      <c r="P76" s="44"/>
      <c r="Q76" s="44"/>
      <c r="R76" s="1"/>
      <c r="S76" s="1"/>
      <c r="T76" s="189"/>
      <c r="U76" s="435" t="s">
        <v>20</v>
      </c>
      <c r="V76" s="435"/>
      <c r="W76" s="435"/>
      <c r="X76" s="1"/>
      <c r="Y76" s="117" t="s">
        <v>6</v>
      </c>
      <c r="Z76" s="117"/>
      <c r="AA76" s="117"/>
      <c r="AB76" s="117" t="s">
        <v>23</v>
      </c>
      <c r="AC76" s="117"/>
      <c r="AD76" s="117"/>
      <c r="AE76" s="26" t="s">
        <v>24</v>
      </c>
    </row>
    <row r="77" spans="2:31" ht="15" hidden="1" customHeight="1">
      <c r="B77" s="58"/>
      <c r="C77" s="121"/>
      <c r="D77" s="121"/>
      <c r="E77" s="60" t="str">
        <f>IF(Annexes!M9=FALSE,"Vous n'avez pas coché la case Fermeture administrative de Septembre à Octobre",IF(Annexes!M6=1,"Vous n'avez pas de jour de fermeture en Octobre",""))</f>
        <v>Vous n'avez pas coché la case Fermeture administrative de Septembre à Octobre</v>
      </c>
      <c r="F77" s="60"/>
      <c r="G77" s="60"/>
      <c r="H77" s="60"/>
      <c r="I77" s="60"/>
      <c r="J77" s="60"/>
      <c r="K77" s="60"/>
      <c r="L77" s="60"/>
      <c r="M77" s="60"/>
      <c r="N77" s="60"/>
      <c r="O77" s="60"/>
      <c r="P77" s="61"/>
      <c r="Q77" s="44"/>
      <c r="R77" s="44"/>
      <c r="S77" s="1"/>
      <c r="T77" s="436" t="s">
        <v>29</v>
      </c>
      <c r="U77" s="435"/>
      <c r="V77" s="435"/>
      <c r="W77" s="435"/>
      <c r="X77" s="1"/>
      <c r="Y77" s="7">
        <f>'Mon Entreprise'!M84</f>
        <v>0</v>
      </c>
      <c r="Z77" s="21"/>
      <c r="AA77" s="22"/>
      <c r="AB77" s="7">
        <f>IF('Mon Entreprise'!I84-'Mon Entreprise'!M84&lt;0,0,'Mon Entreprise'!I84-'Mon Entreprise'!M84)</f>
        <v>0</v>
      </c>
      <c r="AC77" s="1"/>
      <c r="AD77" s="14"/>
      <c r="AE77" s="27">
        <f>IFERROR(1-'Mon Entreprise'!M84/'Mon Entreprise'!I84,0)</f>
        <v>0</v>
      </c>
    </row>
    <row r="78" spans="2:31" ht="15" hidden="1" customHeight="1">
      <c r="B78" s="62"/>
      <c r="C78" s="123"/>
      <c r="D78" s="123" t="str">
        <f>IFERROR(IF('Mon Entreprise'!K8&gt;=Annexes!O20,IF(AB77&gt;=AB79,"- Le CA de référence est celui d'octobre 2019, soit une perte de "&amp;ROUND(AB77,0)&amp;" €"&amp;" ==&gt; "&amp;ROUND(AE77*100,0)&amp;" %","- Le CA de référence est celui de la création, soit une perte de "&amp;ROUND(AB79,0)&amp;" €"&amp;" ==&gt; "&amp;ROUND(AE79*100,0)&amp;" %"),IF(AB77&gt;=AB78,"- Le CA de référence est celui d'Octobre 2019, soit une perte de "&amp;ROUND(AB77,0)&amp;" €"&amp;" ==&gt; "&amp;ROUND(AE77*100,0)&amp;" %","- Le CA de référence est celui de l'exercice 2019, soit une perte de "&amp;ROUND(AB78,0)&amp;" €"&amp;" ==&gt; "&amp;ROUND(AE78*100,0)&amp;" %")),"")</f>
        <v>- Le CA de référence est celui d'Octobre 2019, soit une perte de 0 € ==&gt; 0 %</v>
      </c>
      <c r="E78" s="60"/>
      <c r="F78" s="60"/>
      <c r="G78" s="60"/>
      <c r="H78" s="60"/>
      <c r="I78" s="60"/>
      <c r="J78" s="60"/>
      <c r="K78" s="60"/>
      <c r="L78" s="60"/>
      <c r="M78" s="60"/>
      <c r="N78" s="60"/>
      <c r="O78" s="60"/>
      <c r="P78" s="40"/>
      <c r="Q78" s="44"/>
      <c r="R78" s="44"/>
      <c r="S78" s="1"/>
      <c r="T78" s="436" t="s">
        <v>25</v>
      </c>
      <c r="U78" s="435"/>
      <c r="V78" s="435"/>
      <c r="W78" s="435"/>
      <c r="X78" s="1"/>
      <c r="Y78" s="7">
        <f>'Mon Entreprise'!I71*(Annexes!M4-1)/360</f>
        <v>0</v>
      </c>
      <c r="Z78" s="21"/>
      <c r="AA78" s="22"/>
      <c r="AB78" s="7">
        <f>IF('Mon Entreprise'!I71*(Annexes!M6-1)/360-'Mon Entreprise'!M84&lt;0,0,'Mon Entreprise'!I71*(Annexes!M6-1)/360-'Mon Entreprise'!M84)</f>
        <v>0</v>
      </c>
      <c r="AC78" s="7"/>
      <c r="AD78" s="14"/>
      <c r="AE78" s="27">
        <f>IFERROR(1-'Mon Entreprise'!M84/('Mon Entreprise'!I71*(Annexes!M6-1)/360),0)</f>
        <v>0</v>
      </c>
    </row>
    <row r="79" spans="2:31" ht="15" hidden="1" customHeight="1" thickBot="1">
      <c r="C79" s="5"/>
      <c r="D79" s="5"/>
      <c r="Q79" s="61"/>
      <c r="R79" s="44"/>
      <c r="S79" s="1"/>
      <c r="T79" s="436" t="s">
        <v>22</v>
      </c>
      <c r="U79" s="435"/>
      <c r="V79" s="435"/>
      <c r="W79" s="435"/>
      <c r="X79" s="1"/>
      <c r="Y79" s="18" t="str">
        <f>IFERROR(IF('Mon Entreprise'!K8&gt;=Annexes!O20,'Mon Entreprise'!I141,"NC"),"NC")</f>
        <v>NC</v>
      </c>
      <c r="Z79" s="23"/>
      <c r="AA79" s="22"/>
      <c r="AB79" s="37" t="str">
        <f>IFERROR(IF('Mon Entreprise'!K8&gt;=Annexes!O20,IF('Mon Entreprise'!I141-'Mon Entreprise'!M84&lt;0,0,'Mon Entreprise'!I141-'Mon Entreprise'!M84),"NC"),"NC")</f>
        <v>NC</v>
      </c>
      <c r="AC79" s="118"/>
      <c r="AD79" s="14"/>
      <c r="AE79" s="28" t="str">
        <f>IFERROR(IF('Mon Entreprise'!K8&gt;=Annexes!O20,1-'Mon Entreprise'!M84/'Mon Entreprise'!I141,"NC"),"NC")</f>
        <v>NC</v>
      </c>
    </row>
    <row r="80" spans="2:31" ht="15" hidden="1" customHeight="1">
      <c r="B80" s="5"/>
      <c r="C80" s="5"/>
      <c r="D80" s="476" t="str">
        <f>IFERROR(IF(AB82="NON","Vous avez débuté votre activité après le 30 Septembre 2020, vous ne pouvez donc pas bénéficier de cette aide",IF(AB84="Non","Vous n'avez pas eu de fermeture administrative en octobre, vous ne pouvez donc pas bénéficier de cette aide",IF(AB85&gt;Annexes!O7*(Annexes!M6-1),"Dans votre cas, l'aide est Plafonnée sur 333 €/jour, soit "&amp;IF(Annexes!O7*(Annexes!M6-1)&gt;10000,10000,Annexes!O7*(Annexes!M6-1))&amp;" €, pour le mois d'octobre","Vous pouvez bénéficier, au titre de cette aide, d'un montant de "&amp;ROUND(IF(AB85&gt;10000,10000,AB85),0)&amp;" € pour le mois d'octobre"))),"Vous n'avez pas indiqué de chiffre d'affaires de référence")</f>
        <v>Vous n'avez pas eu de fermeture administrative en octobre, vous ne pouvez donc pas bénéficier de cette aide</v>
      </c>
      <c r="E80" s="477"/>
      <c r="F80" s="477"/>
      <c r="G80" s="477"/>
      <c r="H80" s="477"/>
      <c r="I80" s="477"/>
      <c r="J80" s="477"/>
      <c r="K80" s="477"/>
      <c r="L80" s="477"/>
      <c r="M80" s="477"/>
      <c r="N80" s="477"/>
      <c r="O80" s="478"/>
      <c r="Q80" s="40"/>
      <c r="R80" s="61"/>
      <c r="T80" s="119"/>
      <c r="U80" s="118"/>
      <c r="V80" s="118"/>
      <c r="W80" s="118"/>
      <c r="X80" s="1"/>
      <c r="Y80" s="18"/>
      <c r="Z80" s="23"/>
      <c r="AA80" s="21"/>
      <c r="AB80" s="37"/>
      <c r="AC80" s="118"/>
      <c r="AD80" s="1"/>
      <c r="AE80" s="28"/>
    </row>
    <row r="81" spans="2:31" ht="15" hidden="1" customHeight="1">
      <c r="B81" s="5"/>
      <c r="C81" s="5"/>
      <c r="D81" s="479"/>
      <c r="E81" s="480"/>
      <c r="F81" s="480"/>
      <c r="G81" s="480"/>
      <c r="H81" s="480"/>
      <c r="I81" s="480"/>
      <c r="J81" s="480"/>
      <c r="K81" s="480"/>
      <c r="L81" s="480"/>
      <c r="M81" s="480"/>
      <c r="N81" s="480"/>
      <c r="O81" s="481"/>
      <c r="Q81" s="40"/>
      <c r="R81" s="61"/>
      <c r="T81" s="14"/>
      <c r="U81" s="1"/>
      <c r="V81" s="1"/>
      <c r="W81" s="1"/>
      <c r="X81" s="1"/>
      <c r="Y81" s="1"/>
      <c r="Z81" s="1"/>
      <c r="AA81" s="1"/>
      <c r="AB81" s="1"/>
      <c r="AC81" s="1"/>
      <c r="AD81" s="1"/>
      <c r="AE81" s="13"/>
    </row>
    <row r="82" spans="2:31" ht="15" hidden="1" customHeight="1">
      <c r="B82" s="5"/>
      <c r="C82" s="5"/>
      <c r="D82" s="479"/>
      <c r="E82" s="480"/>
      <c r="F82" s="480"/>
      <c r="G82" s="480"/>
      <c r="H82" s="480"/>
      <c r="I82" s="480"/>
      <c r="J82" s="480"/>
      <c r="K82" s="480"/>
      <c r="L82" s="480"/>
      <c r="M82" s="480"/>
      <c r="N82" s="480"/>
      <c r="O82" s="481"/>
      <c r="R82" s="40"/>
      <c r="T82" s="14"/>
      <c r="U82" s="448" t="s">
        <v>72</v>
      </c>
      <c r="V82" s="448"/>
      <c r="W82" s="448"/>
      <c r="X82" s="448"/>
      <c r="Y82" s="448"/>
      <c r="Z82" s="129"/>
      <c r="AA82" s="14"/>
      <c r="AB82" s="118" t="str">
        <f>IF('Mon Entreprise'!K8&lt;=Annexes!Q24,"Oui","Non")</f>
        <v>Oui</v>
      </c>
      <c r="AC82" s="1"/>
      <c r="AD82" s="1"/>
      <c r="AE82" s="13"/>
    </row>
    <row r="83" spans="2:31" ht="15" hidden="1" customHeight="1" thickBot="1">
      <c r="C83" s="5"/>
      <c r="D83" s="482"/>
      <c r="E83" s="483"/>
      <c r="F83" s="483"/>
      <c r="G83" s="483"/>
      <c r="H83" s="483"/>
      <c r="I83" s="483"/>
      <c r="J83" s="483"/>
      <c r="K83" s="483"/>
      <c r="L83" s="483"/>
      <c r="M83" s="483"/>
      <c r="N83" s="483"/>
      <c r="O83" s="484"/>
      <c r="T83" s="14"/>
      <c r="U83" s="435" t="s">
        <v>78</v>
      </c>
      <c r="V83" s="435"/>
      <c r="W83" s="435"/>
      <c r="X83" s="435"/>
      <c r="Y83" s="435"/>
      <c r="Z83" s="118"/>
      <c r="AA83" s="14"/>
      <c r="AB83" s="118">
        <f>IF(Annexes!M9=FALSE,0,IF(Annexes!M6=1,0,Annexes!M6-1))</f>
        <v>0</v>
      </c>
      <c r="AC83" s="1"/>
      <c r="AD83" s="1"/>
      <c r="AE83" s="13"/>
    </row>
    <row r="84" spans="2:31" ht="15.75" hidden="1" customHeight="1">
      <c r="B84" s="5"/>
      <c r="C84" s="5"/>
      <c r="D84" s="5"/>
      <c r="T84" s="14"/>
      <c r="U84" s="435" t="s">
        <v>79</v>
      </c>
      <c r="V84" s="435"/>
      <c r="W84" s="435"/>
      <c r="X84" s="435"/>
      <c r="Y84" s="435"/>
      <c r="Z84" s="118"/>
      <c r="AA84" s="14"/>
      <c r="AB84" s="118" t="str">
        <f>IF(Annexes!M9=FALSE,"Non",IF(Annexes!M6=1,"Non","Oui"))</f>
        <v>Non</v>
      </c>
      <c r="AC84" s="1"/>
      <c r="AD84" s="1"/>
      <c r="AE84" s="13"/>
    </row>
    <row r="85" spans="2:31" ht="15" customHeight="1">
      <c r="T85" s="14"/>
      <c r="U85" s="435" t="s">
        <v>80</v>
      </c>
      <c r="V85" s="435"/>
      <c r="W85" s="435"/>
      <c r="X85" s="435"/>
      <c r="Y85" s="435"/>
      <c r="Z85" s="130"/>
      <c r="AA85" s="14"/>
      <c r="AB85" s="37">
        <f>IF('Mon Entreprise'!K8&gt;=Annexes!O20,IF(AB77&gt;=AB79,AB77,AB79),IF(AB77&gt;=AB78,AB77,AB78))</f>
        <v>0</v>
      </c>
      <c r="AC85" s="1"/>
      <c r="AD85" s="1"/>
      <c r="AE85" s="13"/>
    </row>
    <row r="86" spans="2:31" ht="15.75" customHeight="1">
      <c r="B86" s="5"/>
      <c r="C86" s="5"/>
      <c r="D86" s="5"/>
      <c r="T86" s="14"/>
      <c r="U86" s="294"/>
      <c r="V86" s="294"/>
      <c r="W86" s="294"/>
      <c r="X86" s="294"/>
      <c r="Y86" s="294"/>
      <c r="Z86" s="130"/>
      <c r="AA86" s="1"/>
      <c r="AB86" s="37"/>
      <c r="AC86" s="1"/>
      <c r="AD86" s="1"/>
      <c r="AE86" s="13"/>
    </row>
    <row r="87" spans="2:31" ht="15" customHeight="1" thickBot="1">
      <c r="B87" s="221"/>
      <c r="C87" s="433" t="s">
        <v>30</v>
      </c>
      <c r="D87" s="433"/>
      <c r="E87" s="433"/>
      <c r="F87" s="433"/>
      <c r="G87" s="433"/>
      <c r="H87" s="433"/>
      <c r="I87" s="222"/>
      <c r="J87" s="222"/>
      <c r="K87" s="222"/>
      <c r="L87" s="222"/>
      <c r="M87" s="222"/>
      <c r="N87" s="222"/>
      <c r="O87" s="222"/>
      <c r="P87" s="1"/>
      <c r="T87" s="15"/>
      <c r="U87" s="10"/>
      <c r="V87" s="10"/>
      <c r="W87" s="10"/>
      <c r="X87" s="10"/>
      <c r="Y87" s="10"/>
      <c r="Z87" s="10"/>
      <c r="AA87" s="10"/>
      <c r="AB87" s="10"/>
      <c r="AC87" s="10"/>
      <c r="AD87" s="10"/>
      <c r="AE87" s="4"/>
    </row>
    <row r="88" spans="2:31" ht="15.75">
      <c r="B88" s="63"/>
      <c r="C88" s="24"/>
      <c r="D88" s="24"/>
      <c r="E88" s="24"/>
      <c r="F88" s="24"/>
      <c r="G88" s="24"/>
      <c r="H88" s="24"/>
      <c r="I88" s="1"/>
      <c r="J88" s="1"/>
      <c r="K88" s="1"/>
      <c r="L88" s="1"/>
      <c r="M88" s="1"/>
      <c r="N88" s="1"/>
      <c r="O88" s="1"/>
      <c r="P88" s="1"/>
      <c r="T88" s="14"/>
      <c r="U88" s="1"/>
      <c r="V88" s="1"/>
      <c r="W88" s="1"/>
      <c r="X88" s="1"/>
      <c r="Y88" s="1"/>
      <c r="Z88" s="1"/>
      <c r="AA88" s="1"/>
      <c r="AB88" s="1"/>
      <c r="AC88" s="1"/>
      <c r="AD88" s="1"/>
      <c r="AE88" s="13"/>
    </row>
    <row r="89" spans="2:31" ht="15.75" hidden="1">
      <c r="B89" s="103"/>
      <c r="C89" s="434" t="s">
        <v>96</v>
      </c>
      <c r="D89" s="434"/>
      <c r="E89" s="434"/>
      <c r="F89" s="434"/>
      <c r="G89" s="434"/>
      <c r="H89" s="434"/>
      <c r="I89" s="434"/>
      <c r="J89" s="434"/>
      <c r="K89" s="434"/>
      <c r="L89" s="434"/>
      <c r="M89" s="434"/>
      <c r="N89" s="434"/>
      <c r="O89" s="434"/>
      <c r="P89" s="1"/>
      <c r="Q89" s="1"/>
      <c r="T89" s="14"/>
      <c r="U89" s="1"/>
      <c r="V89" s="1"/>
      <c r="W89" s="1"/>
      <c r="X89" s="1"/>
      <c r="Y89" s="1"/>
      <c r="Z89" s="1"/>
      <c r="AA89" s="1"/>
      <c r="AB89" s="1"/>
      <c r="AC89" s="1"/>
      <c r="AD89" s="1"/>
      <c r="AE89" s="13"/>
    </row>
    <row r="90" spans="2:31" ht="15.75" hidden="1">
      <c r="B90" s="103"/>
      <c r="C90" s="120"/>
      <c r="D90" s="60" t="s">
        <v>26</v>
      </c>
      <c r="E90" s="120"/>
      <c r="F90" s="120"/>
      <c r="G90" s="120"/>
      <c r="H90" s="120"/>
      <c r="I90" s="120"/>
      <c r="J90" s="120"/>
      <c r="K90" s="120"/>
      <c r="L90" s="120"/>
      <c r="M90" s="120"/>
      <c r="N90" s="120"/>
      <c r="O90" s="120"/>
      <c r="P90" s="1"/>
      <c r="Q90" s="1"/>
      <c r="T90" s="14"/>
      <c r="U90" s="1"/>
      <c r="V90" s="1"/>
      <c r="W90" s="1"/>
      <c r="X90" s="1"/>
      <c r="Y90" s="1"/>
      <c r="Z90" s="1"/>
      <c r="AA90" s="1"/>
      <c r="AB90" s="1"/>
      <c r="AC90" s="1"/>
      <c r="AD90" s="1"/>
      <c r="AE90" s="13"/>
    </row>
    <row r="91" spans="2:31" ht="16.5" thickBot="1">
      <c r="B91" s="24"/>
      <c r="C91" s="24"/>
      <c r="D91" s="24"/>
      <c r="E91" s="24"/>
      <c r="F91" s="24"/>
      <c r="G91" s="24"/>
      <c r="H91" s="24"/>
      <c r="P91" s="1"/>
      <c r="Q91" s="1"/>
      <c r="R91" s="1"/>
      <c r="S91" s="1"/>
      <c r="T91" s="14"/>
      <c r="U91" s="1"/>
      <c r="V91" s="1"/>
      <c r="W91" s="1"/>
      <c r="X91" s="1"/>
      <c r="Y91" s="1"/>
      <c r="Z91" s="1"/>
      <c r="AA91" s="1"/>
      <c r="AB91" s="1"/>
      <c r="AC91" s="1"/>
      <c r="AD91" s="1"/>
      <c r="AE91" s="13"/>
    </row>
    <row r="92" spans="2:31" ht="15.75">
      <c r="B92" s="24"/>
      <c r="C92" s="24"/>
      <c r="D92" s="437" t="str">
        <f>IFERROR(IF(AND(AB117=0,AB118=0),"Vous ne pouvez pas bénéficier du fonds de solidarité pour le mois de Novembre 2020",IF(AB117&gt;AB118,"Votre entreprise peut bénéficier d'une aide de "&amp;AB117&amp;" €, au titre d'une perte d'au-moins 50 % de votre CA en Novembre 2020","Votre entreprise peut bénéficier d'une aide de "&amp;AB118&amp;"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2" s="438"/>
      <c r="F92" s="438"/>
      <c r="G92" s="438"/>
      <c r="H92" s="438"/>
      <c r="I92" s="438"/>
      <c r="J92" s="438"/>
      <c r="K92" s="438"/>
      <c r="L92" s="438"/>
      <c r="M92" s="438"/>
      <c r="N92" s="438"/>
      <c r="O92" s="439"/>
      <c r="P92" s="1"/>
      <c r="Q92" s="1"/>
      <c r="R92" s="1"/>
      <c r="S92" s="1"/>
      <c r="T92" s="25"/>
      <c r="U92" s="435" t="s">
        <v>20</v>
      </c>
      <c r="V92" s="435"/>
      <c r="W92" s="435"/>
      <c r="X92" s="1"/>
      <c r="Y92" s="117" t="s">
        <v>6</v>
      </c>
      <c r="Z92" s="117"/>
      <c r="AA92" s="117"/>
      <c r="AB92" s="117" t="s">
        <v>23</v>
      </c>
      <c r="AC92" s="117"/>
      <c r="AD92" s="117"/>
      <c r="AE92" s="26" t="s">
        <v>24</v>
      </c>
    </row>
    <row r="93" spans="2:31" ht="15.75">
      <c r="B93" s="24"/>
      <c r="C93" s="24"/>
      <c r="D93" s="440"/>
      <c r="E93" s="441"/>
      <c r="F93" s="441"/>
      <c r="G93" s="441"/>
      <c r="H93" s="441"/>
      <c r="I93" s="441"/>
      <c r="J93" s="441"/>
      <c r="K93" s="441"/>
      <c r="L93" s="441"/>
      <c r="M93" s="441"/>
      <c r="N93" s="441"/>
      <c r="O93" s="442"/>
      <c r="P93" s="1"/>
      <c r="Q93" s="1"/>
      <c r="R93" s="1"/>
      <c r="S93" s="1"/>
      <c r="T93" s="25"/>
      <c r="U93" s="117"/>
      <c r="V93" s="117"/>
      <c r="W93" s="117"/>
      <c r="X93" s="1"/>
      <c r="Y93" s="117"/>
      <c r="Z93" s="117"/>
      <c r="AA93" s="117"/>
      <c r="AB93" s="117"/>
      <c r="AC93" s="117"/>
      <c r="AD93" s="117"/>
      <c r="AE93" s="26"/>
    </row>
    <row r="94" spans="2:31" ht="15.75" customHeight="1">
      <c r="B94" s="24"/>
      <c r="C94" s="24"/>
      <c r="D94" s="440"/>
      <c r="E94" s="441"/>
      <c r="F94" s="441"/>
      <c r="G94" s="441"/>
      <c r="H94" s="441"/>
      <c r="I94" s="441"/>
      <c r="J94" s="441"/>
      <c r="K94" s="441"/>
      <c r="L94" s="441"/>
      <c r="M94" s="441"/>
      <c r="N94" s="441"/>
      <c r="O94" s="442"/>
      <c r="P94" s="1"/>
      <c r="Q94" s="1"/>
      <c r="R94" s="1"/>
      <c r="S94" s="1"/>
      <c r="T94" s="436" t="s">
        <v>98</v>
      </c>
      <c r="U94" s="435"/>
      <c r="V94" s="435"/>
      <c r="W94" s="435"/>
      <c r="X94" s="1"/>
      <c r="Y94" s="7">
        <f>'Mon Entreprise'!I89</f>
        <v>0</v>
      </c>
      <c r="Z94" s="133"/>
      <c r="AA94" s="21"/>
      <c r="AB94" s="7">
        <f>IF('Mon Entreprise'!I89-'Mon Entreprise'!M89&lt;0,0,'Mon Entreprise'!I89-'Mon Entreprise'!M89)</f>
        <v>0</v>
      </c>
      <c r="AC94" s="13"/>
      <c r="AD94" s="1"/>
      <c r="AE94" s="27">
        <f>IFERROR(1-'Mon Entreprise'!M89/'Mon Entreprise'!I89,0)</f>
        <v>0</v>
      </c>
    </row>
    <row r="95" spans="2:31" ht="15.75">
      <c r="B95" s="24"/>
      <c r="C95" s="24"/>
      <c r="D95" s="440"/>
      <c r="E95" s="441"/>
      <c r="F95" s="441"/>
      <c r="G95" s="441"/>
      <c r="H95" s="441"/>
      <c r="I95" s="441"/>
      <c r="J95" s="441"/>
      <c r="K95" s="441"/>
      <c r="L95" s="441"/>
      <c r="M95" s="441"/>
      <c r="N95" s="441"/>
      <c r="O95" s="442"/>
      <c r="P95" s="1"/>
      <c r="Q95" s="109"/>
      <c r="R95" s="1"/>
      <c r="S95" s="1"/>
      <c r="T95" s="436" t="s">
        <v>25</v>
      </c>
      <c r="U95" s="435"/>
      <c r="V95" s="435"/>
      <c r="W95" s="435"/>
      <c r="X95" s="1"/>
      <c r="Y95" s="7">
        <f>'Mon Entreprise'!I73</f>
        <v>0</v>
      </c>
      <c r="Z95" s="133"/>
      <c r="AA95" s="21"/>
      <c r="AB95" s="7">
        <f>IF('Mon Entreprise'!I73-'Mon Entreprise'!M89&lt;0,0,'Mon Entreprise'!I73-'Mon Entreprise'!M89)</f>
        <v>0</v>
      </c>
      <c r="AC95" s="36"/>
      <c r="AD95" s="1"/>
      <c r="AE95" s="27">
        <f>IFERROR(1-'Mon Entreprise'!M89/'Mon Entreprise'!I73,0)</f>
        <v>0</v>
      </c>
    </row>
    <row r="96" spans="2:31" ht="16.5" thickBot="1">
      <c r="B96" s="24"/>
      <c r="C96" s="24"/>
      <c r="D96" s="443"/>
      <c r="E96" s="444"/>
      <c r="F96" s="444"/>
      <c r="G96" s="444"/>
      <c r="H96" s="444"/>
      <c r="I96" s="444"/>
      <c r="J96" s="444"/>
      <c r="K96" s="444"/>
      <c r="L96" s="444"/>
      <c r="M96" s="444"/>
      <c r="N96" s="444"/>
      <c r="O96" s="445"/>
      <c r="P96" s="1"/>
      <c r="Q96" s="1"/>
      <c r="R96" s="109"/>
      <c r="S96" s="109"/>
      <c r="T96" s="436" t="s">
        <v>22</v>
      </c>
      <c r="U96" s="435"/>
      <c r="V96" s="435"/>
      <c r="W96" s="435"/>
      <c r="X96" s="1"/>
      <c r="Y96" s="18" t="str">
        <f>IF('Mon Entreprise'!I139="","NC",'Mon Entreprise'!I139)</f>
        <v>NC</v>
      </c>
      <c r="Z96" s="134"/>
      <c r="AA96" s="21"/>
      <c r="AB96" s="37" t="str">
        <f>IFERROR(IF('Mon Entreprise'!I139-'Mon Entreprise'!M89&lt;0,0,'Mon Entreprise'!I139-'Mon Entreprise'!M89),"NC")</f>
        <v>NC</v>
      </c>
      <c r="AC96" s="135"/>
      <c r="AD96" s="1"/>
      <c r="AE96" s="28" t="str">
        <f>IFERROR(1-'Mon Entreprise'!M89/'Mon Entreprise'!I139,"NC")</f>
        <v>NC</v>
      </c>
    </row>
    <row r="97" spans="2:32" hidden="1">
      <c r="B97" s="8"/>
      <c r="C97" s="79"/>
      <c r="D97" s="79"/>
      <c r="E97" s="78"/>
      <c r="F97" s="78"/>
      <c r="G97" s="78"/>
      <c r="H97" s="78"/>
      <c r="I97" s="78"/>
      <c r="J97" s="78"/>
      <c r="K97" s="78"/>
      <c r="L97" s="78"/>
      <c r="M97" s="78"/>
      <c r="N97" s="78"/>
      <c r="O97" s="78"/>
      <c r="Q97" s="1"/>
      <c r="R97" s="1"/>
      <c r="S97" s="1"/>
      <c r="T97" s="165"/>
      <c r="U97" s="162"/>
      <c r="V97" s="162"/>
      <c r="W97" s="162"/>
      <c r="X97" s="1"/>
      <c r="Y97" s="18"/>
      <c r="Z97" s="23"/>
      <c r="AA97" s="21"/>
      <c r="AB97" s="37"/>
      <c r="AC97" s="162"/>
      <c r="AD97" s="1"/>
      <c r="AE97" s="28"/>
      <c r="AF97" s="99"/>
    </row>
    <row r="98" spans="2:32" hidden="1">
      <c r="Q98" s="1"/>
      <c r="R98" s="1"/>
      <c r="S98" s="1"/>
      <c r="T98" s="14"/>
      <c r="U98" s="1"/>
      <c r="V98" s="1"/>
      <c r="W98" s="1"/>
      <c r="X98" s="1"/>
      <c r="Y98" s="1"/>
      <c r="Z98" s="1"/>
      <c r="AA98" s="1"/>
      <c r="AB98" s="1"/>
      <c r="AC98" s="1"/>
      <c r="AD98" s="1"/>
      <c r="AE98" s="13"/>
    </row>
    <row r="99" spans="2:32" hidden="1">
      <c r="C99" s="60" t="s">
        <v>62</v>
      </c>
      <c r="D99" s="60"/>
      <c r="E99" s="60"/>
      <c r="F99" s="60"/>
      <c r="G99" s="60"/>
      <c r="H99" s="60"/>
      <c r="I99" s="60"/>
      <c r="J99" s="40"/>
      <c r="K99" s="40"/>
      <c r="L99" s="40"/>
      <c r="M99" s="40"/>
      <c r="N99" s="40"/>
      <c r="O99" s="40"/>
      <c r="R99" s="1"/>
      <c r="S99" s="1"/>
      <c r="T99" s="14"/>
      <c r="U99" s="448" t="s">
        <v>72</v>
      </c>
      <c r="V99" s="448"/>
      <c r="W99" s="448"/>
      <c r="X99" s="448"/>
      <c r="Y99" s="448"/>
      <c r="Z99" s="1"/>
      <c r="AA99" s="14"/>
      <c r="AB99" s="118" t="str">
        <f>IF('Mon Entreprise'!K8&lt;=Annexes!Q24,"Oui","Non")</f>
        <v>Oui</v>
      </c>
      <c r="AC99" s="1"/>
      <c r="AD99" s="1"/>
      <c r="AE99" s="13"/>
    </row>
    <row r="100" spans="2:32" hidden="1">
      <c r="C100" s="60"/>
      <c r="D100" s="60" t="str">
        <f>IFERROR(IF('Mon Entreprise'!K8&gt;=Annexes!O20,IF(AB94&gt;=AB96,"Le CA de référence est celui de Novembre 2019, soit une perte de "&amp;ROUND(AB94,0)&amp;" €"&amp;" ==&gt; "&amp;ROUND(AE94*100,0)&amp;" %","Le CA de référence est celui de la création, soit une perte de "&amp;ROUND(AB96,0)&amp;" €"&amp;" ==&gt; "&amp;ROUND(AE96*100,0)&amp;" %"),IF(AB94&gt;=AB95,"Le CA de référence est celui de Novembre 2019, soit une perte de "&amp;ROUND(AB94,0)&amp;" €"&amp;" ==&gt; "&amp;ROUND(AE94*100,0)&amp;" %","Le CA de référence est celui de l'exercice 2019, soit une perte de "&amp;ROUND(AB95,0)&amp;" €"&amp;" ==&gt; "&amp;ROUND(AE95*100,0)&amp;" %")),"")</f>
        <v>Le CA de référence est celui de Novembre 2019, soit une perte de 0 € ==&gt; 0 %</v>
      </c>
      <c r="E100" s="60"/>
      <c r="F100" s="60"/>
      <c r="G100" s="60"/>
      <c r="H100" s="60"/>
      <c r="I100" s="60"/>
      <c r="J100" s="40"/>
      <c r="K100" s="40"/>
      <c r="L100" s="40"/>
      <c r="M100" s="40"/>
      <c r="N100" s="40"/>
      <c r="O100" s="40"/>
      <c r="T100" s="14"/>
      <c r="U100" s="448" t="s">
        <v>84</v>
      </c>
      <c r="V100" s="448"/>
      <c r="W100" s="448"/>
      <c r="X100" s="448"/>
      <c r="Y100" s="448"/>
      <c r="Z100" s="1"/>
      <c r="AA100" s="14"/>
      <c r="AB100" s="118">
        <f>IF('Mon Entreprise'!K8&gt;=Annexes!O20,IF(AB94&gt;=AB96,AB94,AB96),IF(AB94&gt;=AB95,AB94,AB95))</f>
        <v>0</v>
      </c>
      <c r="AC100" s="1"/>
      <c r="AD100" s="1"/>
      <c r="AE100" s="13"/>
    </row>
    <row r="101" spans="2:32" ht="15" hidden="1" customHeight="1" thickBot="1">
      <c r="T101" s="14"/>
      <c r="U101" s="448" t="s">
        <v>85</v>
      </c>
      <c r="V101" s="448"/>
      <c r="W101" s="448"/>
      <c r="X101" s="448"/>
      <c r="Y101" s="448"/>
      <c r="Z101" s="1"/>
      <c r="AA101" s="14"/>
      <c r="AB101" s="19">
        <f>IF('Mon Entreprise'!K8&gt;=Annexes!O20,IF(AB94&gt;=AB96,AE94,AE96),IF(AB94&gt;=AB95,AE94,AE95))</f>
        <v>0</v>
      </c>
      <c r="AC101" s="1"/>
      <c r="AD101" s="1"/>
      <c r="AE101" s="13"/>
    </row>
    <row r="102" spans="2:32" ht="15" hidden="1" customHeight="1">
      <c r="D102" s="450" t="str">
        <f>IFERROR(IF(AB99="Non","Vous avez débuté votre activité après le 30 Septembre 2020, vous ne pouvez donc pas bénéficier de cette aide",IF(AB101&gt;=0.5,IF(AB100&gt;Annexes!O5,"Dans votre cas, l'aide est Plafonnée, à "&amp;Annexes!O5&amp;" € pour le mois de novembre","Vous pouvez bénéficier, au titre de cette aide, d'un montant de "&amp;ROUND(AB100,0)&amp;" € pour le mois de novembre"),"L'entreprise n'a pas une perte d'au moins 50 % en novembre 2020")),"Vous n'avez pas indiqué de chiffre d'affaires de référence")</f>
        <v>L'entreprise n'a pas une perte d'au moins 50 % en novembre 2020</v>
      </c>
      <c r="E102" s="451"/>
      <c r="F102" s="451"/>
      <c r="G102" s="451"/>
      <c r="H102" s="451"/>
      <c r="I102" s="451"/>
      <c r="J102" s="451"/>
      <c r="K102" s="451"/>
      <c r="L102" s="451"/>
      <c r="M102" s="451"/>
      <c r="N102" s="451"/>
      <c r="O102" s="452"/>
      <c r="T102" s="14"/>
      <c r="U102" s="163"/>
      <c r="V102" s="163"/>
      <c r="W102" s="163"/>
      <c r="X102" s="163"/>
      <c r="Y102" s="163"/>
      <c r="Z102" s="1"/>
      <c r="AA102" s="1"/>
      <c r="AB102" s="19"/>
      <c r="AC102" s="1"/>
      <c r="AD102" s="1"/>
      <c r="AE102" s="13"/>
    </row>
    <row r="103" spans="2:32" ht="15" hidden="1" customHeight="1">
      <c r="D103" s="453"/>
      <c r="E103" s="454"/>
      <c r="F103" s="454"/>
      <c r="G103" s="454"/>
      <c r="H103" s="454"/>
      <c r="I103" s="454"/>
      <c r="J103" s="454"/>
      <c r="K103" s="454"/>
      <c r="L103" s="454"/>
      <c r="M103" s="454"/>
      <c r="N103" s="454"/>
      <c r="O103" s="455"/>
      <c r="T103" s="14"/>
      <c r="U103" s="163"/>
      <c r="V103" s="163"/>
      <c r="W103" s="163"/>
      <c r="X103" s="163"/>
      <c r="Y103" s="163"/>
      <c r="Z103" s="1"/>
      <c r="AA103" s="1"/>
      <c r="AB103" s="19"/>
      <c r="AC103" s="1"/>
      <c r="AD103" s="1"/>
      <c r="AE103" s="13"/>
    </row>
    <row r="104" spans="2:32" ht="15" hidden="1" customHeight="1">
      <c r="D104" s="453"/>
      <c r="E104" s="454"/>
      <c r="F104" s="454"/>
      <c r="G104" s="454"/>
      <c r="H104" s="454"/>
      <c r="I104" s="454"/>
      <c r="J104" s="454"/>
      <c r="K104" s="454"/>
      <c r="L104" s="454"/>
      <c r="M104" s="454"/>
      <c r="N104" s="454"/>
      <c r="O104" s="455"/>
      <c r="T104" s="14"/>
      <c r="U104" s="435"/>
      <c r="V104" s="435"/>
      <c r="W104" s="435"/>
      <c r="X104" s="435"/>
      <c r="Y104" s="435"/>
      <c r="Z104" s="1"/>
      <c r="AA104" s="1"/>
      <c r="AB104" s="118"/>
      <c r="AC104" s="1"/>
      <c r="AD104" s="1"/>
      <c r="AE104" s="13"/>
    </row>
    <row r="105" spans="2:32" ht="15" hidden="1" customHeight="1" thickBot="1">
      <c r="D105" s="456"/>
      <c r="E105" s="457"/>
      <c r="F105" s="457"/>
      <c r="G105" s="457"/>
      <c r="H105" s="457"/>
      <c r="I105" s="457"/>
      <c r="J105" s="457"/>
      <c r="K105" s="457"/>
      <c r="L105" s="457"/>
      <c r="M105" s="457"/>
      <c r="N105" s="457"/>
      <c r="O105" s="458"/>
      <c r="T105" s="14"/>
      <c r="U105" s="1"/>
      <c r="V105" s="1"/>
      <c r="W105" s="1"/>
      <c r="X105" s="1"/>
      <c r="Y105" s="1"/>
      <c r="Z105" s="1"/>
      <c r="AA105" s="1"/>
      <c r="AB105" s="118"/>
      <c r="AC105" s="1"/>
      <c r="AD105" s="1"/>
      <c r="AE105" s="13"/>
    </row>
    <row r="106" spans="2:32" ht="15" hidden="1" customHeight="1">
      <c r="C106" s="78"/>
      <c r="D106" s="78"/>
      <c r="E106" s="78"/>
      <c r="F106" s="78"/>
      <c r="G106" s="78"/>
      <c r="H106" s="78"/>
      <c r="I106" s="78"/>
      <c r="J106" s="78"/>
      <c r="K106" s="78"/>
      <c r="L106" s="78"/>
      <c r="M106" s="78"/>
      <c r="N106" s="78"/>
      <c r="O106" s="78"/>
      <c r="T106" s="499" t="s">
        <v>4</v>
      </c>
      <c r="U106" s="464"/>
      <c r="V106" s="464"/>
      <c r="W106" s="464"/>
      <c r="X106" s="464"/>
      <c r="Y106" s="464"/>
      <c r="Z106" s="1"/>
      <c r="AA106" s="14"/>
      <c r="AB106" s="132">
        <f>IFERROR(IF('Mon Entreprise'!K8&lt;Annexes!O17,IF(IFERROR(1-'Mon Entreprise'!M93/'Mon Entreprise'!I93,0)&gt;=IFERROR(1-'Mon Entreprise'!M93/('Mon Entreprise'!I73*2),0),1-'Mon Entreprise'!M93/'Mon Entreprise'!I93,1-'Mon Entreprise'!M93/('Mon Entreprise'!I73*2)),1-'Mon Entreprise'!M93/'Mon Entreprise'!I153),0)</f>
        <v>0</v>
      </c>
      <c r="AC106" s="1"/>
      <c r="AD106" s="1"/>
      <c r="AE106" s="13"/>
    </row>
    <row r="107" spans="2:32" ht="15.75" hidden="1" customHeight="1">
      <c r="T107" s="14"/>
      <c r="U107" s="464" t="s">
        <v>8</v>
      </c>
      <c r="V107" s="464"/>
      <c r="W107" s="464"/>
      <c r="X107" s="464"/>
      <c r="Y107" s="464"/>
      <c r="Z107" s="1"/>
      <c r="AA107" s="14"/>
      <c r="AB107" s="19" t="str">
        <f>IF((AND(Annexes!F5&gt;1,Annexes!F5&lt;=Annexes!H6)),"OUI","NON")</f>
        <v>NON</v>
      </c>
      <c r="AC107" s="1"/>
      <c r="AD107" s="1"/>
      <c r="AE107" s="13"/>
    </row>
    <row r="108" spans="2:32" ht="15" hidden="1" customHeight="1">
      <c r="C108" s="485" t="s">
        <v>101</v>
      </c>
      <c r="D108" s="485"/>
      <c r="E108" s="485"/>
      <c r="F108" s="485"/>
      <c r="G108" s="485"/>
      <c r="H108" s="485"/>
      <c r="I108" s="485"/>
      <c r="J108" s="485"/>
      <c r="K108" s="485"/>
      <c r="L108" s="485"/>
      <c r="M108" s="485"/>
      <c r="N108" s="485"/>
      <c r="O108" s="485"/>
      <c r="P108" s="40"/>
      <c r="T108" s="14"/>
      <c r="U108" s="435" t="s">
        <v>9</v>
      </c>
      <c r="V108" s="435"/>
      <c r="W108" s="435"/>
      <c r="X108" s="435"/>
      <c r="Y108" s="435"/>
      <c r="Z108" s="1"/>
      <c r="AA108" s="14"/>
      <c r="AB108" s="19" t="str">
        <f>IF((AND(Annexes!F7&gt;1,Annexes!F7&lt;=Annexes!H8)),"OUI","NON")</f>
        <v>NON</v>
      </c>
      <c r="AC108" s="1"/>
      <c r="AD108" s="1"/>
      <c r="AE108" s="13"/>
    </row>
    <row r="109" spans="2:32" ht="15" hidden="1" customHeight="1">
      <c r="C109" s="485"/>
      <c r="D109" s="485"/>
      <c r="E109" s="485"/>
      <c r="F109" s="485"/>
      <c r="G109" s="485"/>
      <c r="H109" s="485"/>
      <c r="I109" s="485"/>
      <c r="J109" s="485"/>
      <c r="K109" s="485"/>
      <c r="L109" s="485"/>
      <c r="M109" s="485"/>
      <c r="N109" s="485"/>
      <c r="O109" s="485"/>
      <c r="P109" s="40"/>
      <c r="Q109" s="40"/>
      <c r="T109" s="14"/>
      <c r="U109" s="435" t="s">
        <v>12</v>
      </c>
      <c r="V109" s="435"/>
      <c r="W109" s="435"/>
      <c r="X109" s="435"/>
      <c r="Y109" s="435"/>
      <c r="Z109" s="1"/>
      <c r="AA109" s="14"/>
      <c r="AB109" s="19" t="b">
        <f>Annexes!M11</f>
        <v>0</v>
      </c>
      <c r="AC109" s="1"/>
      <c r="AD109" s="1"/>
      <c r="AE109" s="13"/>
    </row>
    <row r="110" spans="2:32" ht="15.75" hidden="1" customHeight="1">
      <c r="C110" s="60"/>
      <c r="E110" s="485" t="str">
        <f>IF('Mon Entreprise'!K8&gt;Annexes!Q24,"",IF(OR(AB107="OUI",AND(AB108="OUI",AB106&gt;=Annexes!P5),AB109=TRUE),"",IF(AND(AB108="OUI",AB106&lt;Annexes!P5),"L'entreprise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0" s="485"/>
      <c r="G110" s="485"/>
      <c r="H110" s="485"/>
      <c r="I110" s="485"/>
      <c r="J110" s="485"/>
      <c r="K110" s="485"/>
      <c r="L110" s="485"/>
      <c r="M110" s="485"/>
      <c r="N110" s="485"/>
      <c r="O110" s="485"/>
      <c r="P110" s="40"/>
      <c r="Q110" s="40"/>
      <c r="T110" s="14"/>
      <c r="U110" s="448" t="s">
        <v>72</v>
      </c>
      <c r="V110" s="448"/>
      <c r="W110" s="448"/>
      <c r="X110" s="448"/>
      <c r="Y110" s="448"/>
      <c r="Z110" s="1"/>
      <c r="AA110" s="14"/>
      <c r="AB110" s="118" t="str">
        <f>IF('Mon Entreprise'!K8&lt;=Annexes!Q24,"Oui","Non")</f>
        <v>Oui</v>
      </c>
      <c r="AC110" s="1"/>
      <c r="AD110" s="1"/>
      <c r="AE110" s="13"/>
    </row>
    <row r="111" spans="2:32" ht="15" hidden="1" customHeight="1">
      <c r="C111" s="60"/>
      <c r="D111" s="131"/>
      <c r="E111" s="485"/>
      <c r="F111" s="485"/>
      <c r="G111" s="485"/>
      <c r="H111" s="485"/>
      <c r="I111" s="485"/>
      <c r="J111" s="485"/>
      <c r="K111" s="485"/>
      <c r="L111" s="485"/>
      <c r="M111" s="485"/>
      <c r="N111" s="485"/>
      <c r="O111" s="485"/>
      <c r="P111" s="40"/>
      <c r="Q111" s="40"/>
      <c r="T111" s="14"/>
      <c r="U111" s="448" t="s">
        <v>84</v>
      </c>
      <c r="V111" s="448"/>
      <c r="W111" s="448"/>
      <c r="X111" s="448"/>
      <c r="Y111" s="448"/>
      <c r="Z111" s="1"/>
      <c r="AA111" s="14"/>
      <c r="AB111" s="118">
        <f>IF('Mon Entreprise'!K8&gt;=Annexes!O20,IF(AB94&gt;=AB96,AB94,AB96),IF(AB94&gt;=AB95,AB94,AB95))</f>
        <v>0</v>
      </c>
      <c r="AC111" s="1"/>
      <c r="AD111" s="1"/>
      <c r="AE111" s="13"/>
    </row>
    <row r="112" spans="2:32" ht="15" hidden="1" customHeight="1">
      <c r="C112" s="60"/>
      <c r="D112" s="60" t="str">
        <f>IFERROR(IF('Mon Entreprise'!K8&gt;=Annexes!O20,IF(AB94&gt;=AB96,"- Le CA de référence est celui de Novembre 2019, soit une perte de "&amp;ROUND(AB94,0)&amp;" €"&amp;" ==&gt; "&amp;ROUND(AE94*100,0)&amp;" %","- Le CA de référence est celui de la création, soit une perte de "&amp;ROUND(AB96,0)&amp;" €"&amp;" ==&gt; "&amp;ROUND(AE96*100,0)&amp;" %"),IF(AB94&gt;=AB95,"- Le CA de référence est celui de Novembre 2019, soit une perte de "&amp;ROUND(AB94,0)&amp;" €"&amp;" ==&gt; "&amp;ROUND(AE94*100,0)&amp;" %","- Le CA de référence est celui de l'exercice 2019, soit une perte de "&amp;ROUND(AB95,0)&amp;" €"&amp;" ==&gt; "&amp;ROUND(AE95*100,0)&amp;" %")),"")</f>
        <v>- Le CA de référence est celui de Novembre 2019, soit une perte de 0 € ==&gt; 0 %</v>
      </c>
      <c r="E112" s="60"/>
      <c r="F112" s="60"/>
      <c r="G112" s="60"/>
      <c r="H112" s="60"/>
      <c r="I112" s="60"/>
      <c r="J112" s="60"/>
      <c r="K112" s="60"/>
      <c r="L112" s="60"/>
      <c r="M112" s="60"/>
      <c r="N112" s="60"/>
      <c r="O112" s="60"/>
      <c r="P112" s="40"/>
      <c r="Q112" s="40"/>
      <c r="R112" s="40"/>
      <c r="T112" s="14"/>
      <c r="U112" s="448" t="s">
        <v>85</v>
      </c>
      <c r="V112" s="448"/>
      <c r="W112" s="448"/>
      <c r="X112" s="448"/>
      <c r="Y112" s="448"/>
      <c r="Z112" s="1"/>
      <c r="AA112" s="14"/>
      <c r="AB112" s="19">
        <f>IF('Mon Entreprise'!K8&gt;=Annexes!O20,IF(AB94&gt;=AB96,AE94,AE96),IF(AB94&gt;=AB95,AE94,AE95))</f>
        <v>0</v>
      </c>
      <c r="AC112" s="1"/>
      <c r="AD112" s="1"/>
      <c r="AE112" s="13"/>
    </row>
    <row r="113" spans="2:31" ht="15" hidden="1" customHeight="1">
      <c r="C113" s="40"/>
      <c r="D113" s="60" t="str">
        <f>IF(OR(AB107="OUI",AB109=TRUE),"- Sans ticket modérateur",IF(AND(AB108="OUI",AB106&gt;=0.8),"- La Perte de référence est plafonnée à 80 %, soit "&amp;ROUND(AB115,0)&amp;" €","- Sans ticket modérateur"))</f>
        <v>- Sans ticket modérateur</v>
      </c>
      <c r="E113" s="40"/>
      <c r="F113" s="40"/>
      <c r="G113" s="40"/>
      <c r="H113" s="40"/>
      <c r="I113" s="40"/>
      <c r="J113" s="40"/>
      <c r="K113" s="40"/>
      <c r="M113" s="40"/>
      <c r="N113" s="40"/>
      <c r="O113" s="40"/>
      <c r="P113" s="40"/>
      <c r="Q113" s="40"/>
      <c r="R113" s="40"/>
      <c r="T113" s="14"/>
      <c r="U113" s="435" t="s">
        <v>74</v>
      </c>
      <c r="V113" s="435"/>
      <c r="W113" s="435"/>
      <c r="X113" s="435"/>
      <c r="Y113" s="435"/>
      <c r="Z113" s="1"/>
      <c r="AA113" s="14"/>
      <c r="AB113" s="55">
        <f>IF(OR(AB107="OUI",AB109=TRUE),1,IF(AND(AB108="OUI",AB106&gt;=0.8),0.8,1))</f>
        <v>1</v>
      </c>
      <c r="AC113" s="1"/>
      <c r="AD113" s="1"/>
      <c r="AE113" s="13"/>
    </row>
    <row r="114" spans="2:31" ht="15" hidden="1" customHeight="1" thickBot="1">
      <c r="Q114" s="40"/>
      <c r="R114" s="40"/>
      <c r="T114" s="14"/>
      <c r="U114" s="435" t="s">
        <v>80</v>
      </c>
      <c r="V114" s="435"/>
      <c r="W114" s="435"/>
      <c r="X114" s="435"/>
      <c r="Y114" s="435"/>
      <c r="Z114" s="1"/>
      <c r="AA114" s="14"/>
      <c r="AB114" s="180">
        <f>IF('Mon Entreprise'!K8&gt;=Annexes!O20,IF(AB94&gt;=AB96,Y94,Y96),IF(AB94&gt;=AB95,Y94,Y95))</f>
        <v>0</v>
      </c>
      <c r="AC114" s="1"/>
      <c r="AD114" s="1"/>
      <c r="AE114" s="13"/>
    </row>
    <row r="115" spans="2:31" ht="15" hidden="1" customHeight="1">
      <c r="D115" s="450" t="str">
        <f>IFERROR(IF('Mon Entreprise'!K8&gt;Annexes!Q24,"Vous avez débuté votre activité après le 30 Septembre 2020, vous ne pouvez donc pas bénéficier de cette aide",IF(AB109=TRUE,IF(AB115&gt;Annexes!O6,"Dans votre cas, l'aide est Plafonnée, à "&amp;Annexes!O6&amp;" € pour le mois de Novembre","Vous pouvez bénéficier, au titre de cette aide, d'un montant de "&amp;ROUND(AB115,0)&amp;" € pour le mois de novembre"),IF(AB112&gt;=0.5,IF(OR(AB107="OUI",AND(AB108="OUI",AB106&gt;=Annexes!P5)),IF(AB115&gt;Annexes!O6,"Dans votre cas, l'aide est Plafonnée, à "&amp;Annexes!O6&amp;" € pour le mois de Novembre","Vous pouvez bénéficier, au titre de cette aide, d'un montant de "&amp;ROUND(AB115,0)&amp;" € pour le mois de novembre"),IF(AND(AB108="OUI",AB106&lt;Annexes!P5),"L'entreprise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5" s="451"/>
      <c r="F115" s="451"/>
      <c r="G115" s="451"/>
      <c r="H115" s="451"/>
      <c r="I115" s="451"/>
      <c r="J115" s="451"/>
      <c r="K115" s="451"/>
      <c r="L115" s="451"/>
      <c r="M115" s="451"/>
      <c r="N115" s="451"/>
      <c r="O115" s="452"/>
      <c r="Q115" s="40"/>
      <c r="R115" s="40"/>
      <c r="T115" s="14"/>
      <c r="U115" s="435" t="s">
        <v>104</v>
      </c>
      <c r="V115" s="435"/>
      <c r="W115" s="435"/>
      <c r="X115" s="435"/>
      <c r="Y115" s="435"/>
      <c r="Z115" s="1"/>
      <c r="AA115" s="14"/>
      <c r="AB115" s="118">
        <f>IF(AB113=1,AB111,IF(AB111*AB113&gt;1500,IF(AB111&gt;1500,AB111*AB113,"Impossible"),IF(AB111&lt;1500,AB111,1500)))</f>
        <v>0</v>
      </c>
      <c r="AC115" s="1"/>
      <c r="AD115" s="1"/>
      <c r="AE115" s="13"/>
    </row>
    <row r="116" spans="2:31" ht="15" hidden="1" customHeight="1">
      <c r="D116" s="453"/>
      <c r="E116" s="454"/>
      <c r="F116" s="454"/>
      <c r="G116" s="454"/>
      <c r="H116" s="454"/>
      <c r="I116" s="454"/>
      <c r="J116" s="454"/>
      <c r="K116" s="454"/>
      <c r="L116" s="454"/>
      <c r="M116" s="454"/>
      <c r="N116" s="454"/>
      <c r="O116" s="455"/>
      <c r="Q116" s="40"/>
      <c r="R116" s="40"/>
      <c r="T116" s="14"/>
      <c r="U116" s="148"/>
      <c r="V116" s="148"/>
      <c r="W116" s="148"/>
      <c r="X116" s="148"/>
      <c r="Y116" s="148"/>
      <c r="Z116" s="1"/>
      <c r="AA116" s="1"/>
      <c r="AB116" s="148"/>
      <c r="AC116" s="1"/>
      <c r="AD116" s="1"/>
      <c r="AE116" s="13"/>
    </row>
    <row r="117" spans="2:31" ht="15" hidden="1" customHeight="1">
      <c r="D117" s="453"/>
      <c r="E117" s="454"/>
      <c r="F117" s="454"/>
      <c r="G117" s="454"/>
      <c r="H117" s="454"/>
      <c r="I117" s="454"/>
      <c r="J117" s="454"/>
      <c r="K117" s="454"/>
      <c r="L117" s="454"/>
      <c r="M117" s="454"/>
      <c r="N117" s="454"/>
      <c r="O117" s="455"/>
      <c r="Q117" s="40"/>
      <c r="R117" s="40"/>
      <c r="T117" s="14"/>
      <c r="U117" s="435" t="s">
        <v>82</v>
      </c>
      <c r="V117" s="435"/>
      <c r="W117" s="435"/>
      <c r="X117" s="435"/>
      <c r="Y117" s="435"/>
      <c r="Z117" s="1"/>
      <c r="AA117" s="14"/>
      <c r="AB117" s="118">
        <f>IF(AB99="Non",0,IF(AB101&gt;=0.5,IF(AB100&gt;Annexes!O5,Annexes!O5,ROUND(AB100,0)),0))</f>
        <v>0</v>
      </c>
      <c r="AC117" s="1"/>
      <c r="AD117" s="1"/>
      <c r="AE117" s="13"/>
    </row>
    <row r="118" spans="2:31" ht="15" hidden="1" customHeight="1" thickBot="1">
      <c r="D118" s="456"/>
      <c r="E118" s="457"/>
      <c r="F118" s="457"/>
      <c r="G118" s="457"/>
      <c r="H118" s="457"/>
      <c r="I118" s="457"/>
      <c r="J118" s="457"/>
      <c r="K118" s="457"/>
      <c r="L118" s="457"/>
      <c r="M118" s="457"/>
      <c r="N118" s="457"/>
      <c r="O118" s="458"/>
      <c r="R118" s="40"/>
      <c r="T118" s="14"/>
      <c r="U118" s="435" t="s">
        <v>81</v>
      </c>
      <c r="V118" s="435"/>
      <c r="W118" s="435"/>
      <c r="X118" s="435"/>
      <c r="Y118" s="435"/>
      <c r="Z118" s="1"/>
      <c r="AA118" s="14"/>
      <c r="AB118" s="118">
        <f>IFERROR(IF('Mon Entreprise'!K8&gt;Annexes!Q24,0,IF(AB109=TRUE,IF(AB115&gt;Annexes!O6,Annexes!O6,ROUND(AB115,0)),IF(AB112&gt;=0.5,IF(OR(AB107="OUI",AND(AB108="OUI",AB106&gt;=Annexes!P5),AB109=TRUE),IF(AB115&gt;Annexes!O6,Annexes!O6,ROUND(AB115,0)),IF(AND(AB108="OUI",AB106&lt;Annexes!P5),0,0)),0))),0)</f>
        <v>0</v>
      </c>
      <c r="AC118" s="1"/>
      <c r="AD118" s="1"/>
      <c r="AE118" s="13"/>
    </row>
    <row r="119" spans="2:31" ht="15" hidden="1" customHeight="1">
      <c r="D119" s="470"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19" s="470"/>
      <c r="F119" s="470"/>
      <c r="G119" s="470"/>
      <c r="H119" s="470"/>
      <c r="I119" s="470"/>
      <c r="J119" s="470"/>
      <c r="K119" s="470"/>
      <c r="L119" s="470"/>
      <c r="M119" s="470"/>
      <c r="N119" s="470"/>
      <c r="O119" s="470"/>
      <c r="R119" s="40"/>
      <c r="T119" s="14"/>
      <c r="U119" s="294"/>
      <c r="V119" s="294"/>
      <c r="W119" s="294"/>
      <c r="X119" s="294"/>
      <c r="Y119" s="294"/>
      <c r="Z119" s="1"/>
      <c r="AA119" s="1"/>
      <c r="AB119" s="294"/>
      <c r="AC119" s="1"/>
      <c r="AD119" s="1"/>
      <c r="AE119" s="13"/>
    </row>
    <row r="120" spans="2:31" ht="15" customHeight="1">
      <c r="D120" s="471"/>
      <c r="E120" s="471"/>
      <c r="F120" s="471"/>
      <c r="G120" s="471"/>
      <c r="H120" s="471"/>
      <c r="I120" s="471"/>
      <c r="J120" s="471"/>
      <c r="K120" s="471"/>
      <c r="L120" s="471"/>
      <c r="M120" s="471"/>
      <c r="N120" s="471"/>
      <c r="O120" s="471"/>
      <c r="R120" s="40"/>
      <c r="T120" s="14"/>
      <c r="U120" s="303"/>
      <c r="V120" s="303"/>
      <c r="W120" s="303"/>
      <c r="X120" s="303"/>
      <c r="Y120" s="303"/>
      <c r="Z120" s="1"/>
      <c r="AA120" s="1"/>
      <c r="AB120" s="303"/>
      <c r="AC120" s="1"/>
      <c r="AD120" s="1"/>
      <c r="AE120" s="13"/>
    </row>
    <row r="121" spans="2:31">
      <c r="R121" s="40"/>
      <c r="T121" s="15"/>
      <c r="U121" s="10"/>
      <c r="V121" s="10"/>
      <c r="W121" s="10"/>
      <c r="X121" s="10"/>
      <c r="Y121" s="10"/>
      <c r="Z121" s="10"/>
      <c r="AA121" s="10"/>
      <c r="AB121" s="10"/>
      <c r="AC121" s="10"/>
      <c r="AD121" s="10"/>
      <c r="AE121" s="4"/>
    </row>
    <row r="122" spans="2:31" ht="15" customHeight="1" thickBot="1">
      <c r="B122" s="221"/>
      <c r="C122" s="433" t="s">
        <v>95</v>
      </c>
      <c r="D122" s="433"/>
      <c r="E122" s="433"/>
      <c r="F122" s="433"/>
      <c r="G122" s="433"/>
      <c r="H122" s="433"/>
      <c r="I122" s="222"/>
      <c r="J122" s="222"/>
      <c r="K122" s="222"/>
      <c r="L122" s="222"/>
      <c r="M122" s="222"/>
      <c r="N122" s="222"/>
      <c r="O122" s="222"/>
      <c r="T122" s="16"/>
      <c r="U122" s="11"/>
      <c r="V122" s="11"/>
      <c r="W122" s="11"/>
      <c r="X122" s="11"/>
      <c r="Y122" s="11"/>
      <c r="Z122" s="11"/>
      <c r="AA122" s="11"/>
      <c r="AB122" s="11"/>
      <c r="AC122" s="11"/>
      <c r="AD122" s="11"/>
      <c r="AE122" s="12"/>
    </row>
    <row r="123" spans="2:31" ht="15" customHeight="1">
      <c r="B123" s="63"/>
      <c r="C123" s="24"/>
      <c r="D123" s="24"/>
      <c r="E123" s="24"/>
      <c r="F123" s="24"/>
      <c r="G123" s="24"/>
      <c r="H123" s="24"/>
      <c r="I123" s="1"/>
      <c r="J123" s="1"/>
      <c r="K123" s="1"/>
      <c r="L123" s="1"/>
      <c r="M123" s="1"/>
      <c r="N123" s="1"/>
      <c r="O123" s="1"/>
      <c r="T123" s="14"/>
      <c r="U123" s="1"/>
      <c r="V123" s="1"/>
      <c r="W123" s="1"/>
      <c r="X123" s="1"/>
      <c r="Y123" s="1"/>
      <c r="Z123" s="1"/>
      <c r="AA123" s="1"/>
      <c r="AB123" s="1"/>
      <c r="AC123" s="1"/>
      <c r="AD123" s="1"/>
      <c r="AE123" s="13"/>
    </row>
    <row r="124" spans="2:31" ht="15" hidden="1" customHeight="1">
      <c r="B124" s="103"/>
      <c r="C124" s="434" t="s">
        <v>115</v>
      </c>
      <c r="D124" s="434"/>
      <c r="E124" s="434"/>
      <c r="F124" s="434"/>
      <c r="G124" s="434"/>
      <c r="H124" s="434"/>
      <c r="I124" s="434"/>
      <c r="J124" s="434"/>
      <c r="K124" s="434"/>
      <c r="L124" s="434"/>
      <c r="M124" s="434"/>
      <c r="N124" s="434"/>
      <c r="O124" s="434"/>
      <c r="P124" s="1"/>
      <c r="T124" s="25"/>
      <c r="U124" s="435" t="s">
        <v>20</v>
      </c>
      <c r="V124" s="435"/>
      <c r="W124" s="435"/>
      <c r="X124" s="1"/>
      <c r="Y124" s="166" t="s">
        <v>6</v>
      </c>
      <c r="Z124" s="166"/>
      <c r="AA124" s="166"/>
      <c r="AB124" s="166" t="s">
        <v>23</v>
      </c>
      <c r="AC124" s="166"/>
      <c r="AD124" s="166"/>
      <c r="AE124" s="26" t="s">
        <v>24</v>
      </c>
    </row>
    <row r="125" spans="2:31" ht="15.75" hidden="1" customHeight="1">
      <c r="B125" s="103"/>
      <c r="C125" s="191"/>
      <c r="D125" s="60" t="s">
        <v>26</v>
      </c>
      <c r="E125" s="191"/>
      <c r="F125" s="191"/>
      <c r="G125" s="191"/>
      <c r="H125" s="191"/>
      <c r="I125" s="191"/>
      <c r="J125" s="191"/>
      <c r="K125" s="191"/>
      <c r="L125" s="191"/>
      <c r="M125" s="191"/>
      <c r="N125" s="191"/>
      <c r="O125" s="191"/>
      <c r="P125" s="1"/>
      <c r="T125" s="25"/>
      <c r="U125" s="166"/>
      <c r="V125" s="166"/>
      <c r="W125" s="166"/>
      <c r="X125" s="1"/>
      <c r="Y125" s="166"/>
      <c r="Z125" s="166"/>
      <c r="AA125" s="166"/>
      <c r="AB125" s="166"/>
      <c r="AC125" s="166"/>
      <c r="AD125" s="166"/>
      <c r="AE125" s="26"/>
    </row>
    <row r="126" spans="2:31" ht="16.5" thickBot="1">
      <c r="B126" s="103"/>
      <c r="C126" s="164"/>
      <c r="D126" s="60"/>
      <c r="E126" s="164"/>
      <c r="F126" s="164"/>
      <c r="G126" s="164"/>
      <c r="H126" s="164"/>
      <c r="I126" s="164"/>
      <c r="J126" s="164"/>
      <c r="K126" s="164"/>
      <c r="L126" s="164"/>
      <c r="M126" s="164"/>
      <c r="N126" s="164"/>
      <c r="O126" s="164"/>
      <c r="P126" s="1"/>
      <c r="T126" s="436" t="s">
        <v>99</v>
      </c>
      <c r="U126" s="435"/>
      <c r="V126" s="435"/>
      <c r="W126" s="435"/>
      <c r="X126" s="1"/>
      <c r="Y126" s="7">
        <f>'Mon Entreprise'!I91</f>
        <v>0</v>
      </c>
      <c r="Z126" s="133"/>
      <c r="AA126" s="21"/>
      <c r="AB126" s="7">
        <f>IF('Mon Entreprise'!I91-'Mon Entreprise'!M91&lt;0,0,'Mon Entreprise'!I91-'Mon Entreprise'!M91)</f>
        <v>0</v>
      </c>
      <c r="AC126" s="13"/>
      <c r="AD126" s="1"/>
      <c r="AE126" s="27">
        <f>IFERROR(1-'Mon Entreprise'!M91/'Mon Entreprise'!I91,0)</f>
        <v>0</v>
      </c>
    </row>
    <row r="127" spans="2:31" ht="15.75">
      <c r="B127" s="103"/>
      <c r="C127" s="164"/>
      <c r="D127" s="437" t="str">
        <f>IFERROR(IF(AND(AB160=0,AB161=0,AB162=0),"Vous ne pouvez pas bénéficier du fonds de solidarité pour le mois de Décembre 2020",IF(AND(AB162&gt;AB161,AB162&gt;AB160),"Votre entreprise peut bénéficier d'une aide de "&amp;AB162&amp;" €, au titre d'une fermeture Administrative, ou d'une perte d'au moins 50 % ou 70 % du CA pour les activités mentionnées en annexe 1, ou d'une perte d'au moins 70 % du CA pour les activités mentionnées en annexe 2 ou 3",IF(AB161&gt;AB160,"Votre entreprise peut bénéficier d'une aide de "&amp;AB161&amp;"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"&amp;AB160&amp;" €, au titre d'une perte d'au-moins 50 % de votre CA en Décembre 2020"))),"Vous n'avez pas indiqué de chiffre d'affaires de référence")</f>
        <v>Vous ne pouvez pas bénéficier du fonds de solidarité pour le mois de Décembre 2020</v>
      </c>
      <c r="E127" s="438"/>
      <c r="F127" s="438"/>
      <c r="G127" s="438"/>
      <c r="H127" s="438"/>
      <c r="I127" s="438"/>
      <c r="J127" s="438"/>
      <c r="K127" s="438"/>
      <c r="L127" s="438"/>
      <c r="M127" s="438"/>
      <c r="N127" s="438"/>
      <c r="O127" s="439"/>
      <c r="P127" s="1"/>
      <c r="T127" s="436" t="s">
        <v>25</v>
      </c>
      <c r="U127" s="435"/>
      <c r="V127" s="435"/>
      <c r="W127" s="435"/>
      <c r="X127" s="1"/>
      <c r="Y127" s="7">
        <f>'Mon Entreprise'!I73</f>
        <v>0</v>
      </c>
      <c r="Z127" s="133"/>
      <c r="AA127" s="21"/>
      <c r="AB127" s="7">
        <f>IF('Mon Entreprise'!I73-'Mon Entreprise'!M91&lt;0,0,'Mon Entreprise'!I73-'Mon Entreprise'!M91)</f>
        <v>0</v>
      </c>
      <c r="AC127" s="36"/>
      <c r="AD127" s="1"/>
      <c r="AE127" s="27">
        <f>IFERROR(1-'Mon Entreprise'!M91/'Mon Entreprise'!I73,0)</f>
        <v>0</v>
      </c>
    </row>
    <row r="128" spans="2:31" ht="15.75" customHeight="1">
      <c r="B128" s="103"/>
      <c r="C128" s="164"/>
      <c r="D128" s="440"/>
      <c r="E128" s="441"/>
      <c r="F128" s="441"/>
      <c r="G128" s="441"/>
      <c r="H128" s="441"/>
      <c r="I128" s="441"/>
      <c r="J128" s="441"/>
      <c r="K128" s="441"/>
      <c r="L128" s="441"/>
      <c r="M128" s="441"/>
      <c r="N128" s="441"/>
      <c r="O128" s="442"/>
      <c r="P128" s="1"/>
      <c r="T128" s="446" t="s">
        <v>22</v>
      </c>
      <c r="U128" s="447"/>
      <c r="V128" s="447"/>
      <c r="W128" s="447"/>
      <c r="X128" s="139"/>
      <c r="Y128" s="140" t="str">
        <f>IF('Mon Entreprise'!I132="","NC",'Mon Entreprise'!I132)</f>
        <v>NC</v>
      </c>
      <c r="Z128" s="192"/>
      <c r="AA128" s="193"/>
      <c r="AB128" s="143" t="str">
        <f>IFERROR(IF('Mon Entreprise'!I132-'Mon Entreprise'!M91&lt;0,0,'Mon Entreprise'!I132-'Mon Entreprise'!M91),"NC")</f>
        <v>NC</v>
      </c>
      <c r="AC128" s="194"/>
      <c r="AD128" s="139"/>
      <c r="AE128" s="146" t="str">
        <f>IFERROR(1-'Mon Entreprise'!M91/'Mon Entreprise'!I132,"NC")</f>
        <v>NC</v>
      </c>
    </row>
    <row r="129" spans="2:31" ht="15.75" customHeight="1">
      <c r="B129" s="103"/>
      <c r="C129" s="164"/>
      <c r="D129" s="440"/>
      <c r="E129" s="441"/>
      <c r="F129" s="441"/>
      <c r="G129" s="441"/>
      <c r="H129" s="441"/>
      <c r="I129" s="441"/>
      <c r="J129" s="441"/>
      <c r="K129" s="441"/>
      <c r="L129" s="441"/>
      <c r="M129" s="441"/>
      <c r="N129" s="441"/>
      <c r="O129" s="442"/>
      <c r="P129" s="1"/>
      <c r="T129" s="14"/>
      <c r="U129" s="1"/>
      <c r="V129" s="1"/>
      <c r="W129" s="1"/>
      <c r="X129" s="1"/>
      <c r="Y129" s="1"/>
      <c r="Z129" s="1"/>
      <c r="AA129" s="1"/>
      <c r="AB129" s="1"/>
      <c r="AC129" s="1"/>
      <c r="AD129" s="1"/>
      <c r="AE129" s="13"/>
    </row>
    <row r="130" spans="2:31" ht="15.75" customHeight="1">
      <c r="B130" s="103"/>
      <c r="C130" s="164"/>
      <c r="D130" s="440"/>
      <c r="E130" s="441"/>
      <c r="F130" s="441"/>
      <c r="G130" s="441"/>
      <c r="H130" s="441"/>
      <c r="I130" s="441"/>
      <c r="J130" s="441"/>
      <c r="K130" s="441"/>
      <c r="L130" s="441"/>
      <c r="M130" s="441"/>
      <c r="N130" s="441"/>
      <c r="O130" s="442"/>
      <c r="P130" s="1"/>
      <c r="T130" s="14"/>
      <c r="AC130" s="1"/>
      <c r="AD130" s="1"/>
      <c r="AE130" s="13"/>
    </row>
    <row r="131" spans="2:31" ht="15.75" customHeight="1" thickBot="1">
      <c r="B131" s="103"/>
      <c r="C131" s="164"/>
      <c r="D131" s="443"/>
      <c r="E131" s="444"/>
      <c r="F131" s="444"/>
      <c r="G131" s="444"/>
      <c r="H131" s="444"/>
      <c r="I131" s="444"/>
      <c r="J131" s="444"/>
      <c r="K131" s="444"/>
      <c r="L131" s="444"/>
      <c r="M131" s="444"/>
      <c r="N131" s="444"/>
      <c r="O131" s="445"/>
      <c r="P131" s="1"/>
      <c r="T131" s="14"/>
      <c r="AC131" s="1"/>
      <c r="AD131" s="1"/>
      <c r="AE131" s="13"/>
    </row>
    <row r="132" spans="2:31" ht="16.5" customHeight="1">
      <c r="B132" s="103"/>
      <c r="C132" s="164"/>
      <c r="D132" s="60"/>
      <c r="E132" s="164"/>
      <c r="F132" s="164"/>
      <c r="G132" s="164"/>
      <c r="H132" s="164"/>
      <c r="I132" s="164"/>
      <c r="J132" s="164"/>
      <c r="K132" s="164"/>
      <c r="L132" s="164"/>
      <c r="M132" s="164"/>
      <c r="N132" s="164"/>
      <c r="O132" s="164"/>
      <c r="P132" s="1"/>
      <c r="T132" s="14"/>
      <c r="AC132" s="1"/>
      <c r="AD132" s="1"/>
      <c r="AE132" s="13"/>
    </row>
    <row r="133" spans="2:31" ht="15.75" hidden="1">
      <c r="B133" s="103"/>
      <c r="C133" s="78"/>
      <c r="D133" s="78"/>
      <c r="E133" s="78"/>
      <c r="F133" s="78"/>
      <c r="G133" s="78"/>
      <c r="H133" s="78"/>
      <c r="I133" s="78"/>
      <c r="J133" s="78"/>
      <c r="K133" s="78"/>
      <c r="L133" s="78"/>
      <c r="M133" s="78"/>
      <c r="N133" s="78"/>
      <c r="O133" s="78"/>
      <c r="P133" s="1"/>
      <c r="T133" s="14"/>
      <c r="U133" s="1"/>
      <c r="V133" s="1"/>
      <c r="W133" s="1"/>
      <c r="X133" s="1"/>
      <c r="Y133" s="1"/>
      <c r="Z133" s="1"/>
      <c r="AA133" s="1"/>
      <c r="AB133" s="1"/>
      <c r="AC133" s="1"/>
      <c r="AD133" s="1"/>
      <c r="AE133" s="13"/>
    </row>
    <row r="134" spans="2:31" ht="15.75" hidden="1">
      <c r="B134" s="103"/>
      <c r="C134" s="164"/>
      <c r="D134" s="60"/>
      <c r="E134" s="164"/>
      <c r="F134" s="164"/>
      <c r="G134" s="164"/>
      <c r="H134" s="164"/>
      <c r="I134" s="164"/>
      <c r="J134" s="164"/>
      <c r="K134" s="164"/>
      <c r="L134" s="164"/>
      <c r="M134" s="164"/>
      <c r="N134" s="164"/>
      <c r="O134" s="164"/>
      <c r="P134" s="1"/>
      <c r="T134" s="14"/>
      <c r="U134" s="448" t="s">
        <v>72</v>
      </c>
      <c r="V134" s="448"/>
      <c r="W134" s="448"/>
      <c r="X134" s="448"/>
      <c r="Y134" s="448"/>
      <c r="Z134" s="1"/>
      <c r="AA134" s="14"/>
      <c r="AB134" s="190" t="str">
        <f>IF('Mon Entreprise'!K8&lt;=Annexes!Q24,"Oui","Non")</f>
        <v>Oui</v>
      </c>
      <c r="AC134" s="1"/>
      <c r="AD134" s="1"/>
      <c r="AE134" s="13"/>
    </row>
    <row r="135" spans="2:31" ht="15.75" hidden="1">
      <c r="B135" s="103"/>
      <c r="C135" s="164" t="s">
        <v>100</v>
      </c>
      <c r="D135" s="60"/>
      <c r="E135" s="164"/>
      <c r="F135" s="164"/>
      <c r="G135" s="164"/>
      <c r="H135" s="164"/>
      <c r="I135" s="164"/>
      <c r="J135" s="164"/>
      <c r="K135" s="164"/>
      <c r="L135" s="164"/>
      <c r="M135" s="164"/>
      <c r="N135" s="164"/>
      <c r="O135" s="164"/>
      <c r="P135" s="1"/>
      <c r="T135" s="14"/>
      <c r="U135" s="296"/>
      <c r="V135" s="448" t="s">
        <v>393</v>
      </c>
      <c r="W135" s="448"/>
      <c r="X135" s="448"/>
      <c r="Y135" s="448"/>
      <c r="Z135" s="1"/>
      <c r="AA135" s="14"/>
      <c r="AB135" s="295">
        <f>IF('Mon Entreprise'!K8&gt;=Annexes!O20,IF(Y126&gt;=Y128,Y126,Y128),IF(Y126&gt;=Y127,Y126,Y127))</f>
        <v>0</v>
      </c>
      <c r="AC135" s="1"/>
      <c r="AD135" s="1"/>
      <c r="AE135" s="13"/>
    </row>
    <row r="136" spans="2:31" ht="15.75" hidden="1">
      <c r="B136" s="169"/>
      <c r="C136" s="164"/>
      <c r="D136" s="60" t="str">
        <f>IFERROR(IF('Mon Entreprise'!K8&gt;=Annexes!O20,IF(AB126&gt;=AB128,"Le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6" s="164"/>
      <c r="F136" s="164"/>
      <c r="G136" s="164"/>
      <c r="H136" s="164"/>
      <c r="I136" s="164"/>
      <c r="J136" s="164"/>
      <c r="K136" s="164"/>
      <c r="L136" s="164"/>
      <c r="M136" s="164"/>
      <c r="N136" s="164"/>
      <c r="O136" s="164"/>
      <c r="P136" s="1"/>
      <c r="T136" s="14"/>
      <c r="U136" s="448" t="s">
        <v>84</v>
      </c>
      <c r="V136" s="448"/>
      <c r="W136" s="448"/>
      <c r="X136" s="448"/>
      <c r="Y136" s="448"/>
      <c r="Z136" s="1"/>
      <c r="AA136" s="14"/>
      <c r="AB136" s="162">
        <f>IF('Mon Entreprise'!K8&gt;=Annexes!O20,IF(AB126&gt;=AB128,AB126,AB128),IF(AB126&gt;=AB127,AB126,AB127))</f>
        <v>0</v>
      </c>
      <c r="AC136" s="1"/>
      <c r="AD136" s="1"/>
      <c r="AE136" s="13"/>
    </row>
    <row r="137" spans="2:31" ht="16.5" hidden="1" thickBot="1">
      <c r="B137" s="103"/>
      <c r="C137" s="164"/>
      <c r="D137" s="60"/>
      <c r="E137" s="164"/>
      <c r="F137" s="164"/>
      <c r="G137" s="164"/>
      <c r="H137" s="164"/>
      <c r="I137" s="164"/>
      <c r="J137" s="164"/>
      <c r="K137" s="164"/>
      <c r="L137" s="164"/>
      <c r="M137" s="164"/>
      <c r="N137" s="164"/>
      <c r="O137" s="164"/>
      <c r="P137" s="1"/>
      <c r="T137" s="14"/>
      <c r="U137" s="448" t="s">
        <v>85</v>
      </c>
      <c r="V137" s="448"/>
      <c r="W137" s="448"/>
      <c r="X137" s="448"/>
      <c r="Y137" s="448"/>
      <c r="Z137" s="1"/>
      <c r="AA137" s="14"/>
      <c r="AB137" s="19">
        <f>IF('Mon Entreprise'!K8&gt;=Annexes!O20,IF(AB126&gt;=AB128,AE126,AE128),IF(AB126&gt;=AB127,AE126,AE127))</f>
        <v>0</v>
      </c>
      <c r="AC137" s="1"/>
      <c r="AD137" s="1"/>
      <c r="AE137" s="13"/>
    </row>
    <row r="138" spans="2:31" ht="15.75" hidden="1">
      <c r="B138" s="169"/>
      <c r="C138" s="164"/>
      <c r="D138" s="450" t="str">
        <f>IFERROR(IF(AB134="Non","Vous avez débuté votre activité après le 30 Septembre 2020, vous ne pouvez donc pas bénéficier de cette aide",IF(AB137&gt;=0.5,IF(AB136&gt;Annexes!O5,"Dans votre cas, l'aide est Plafonnée, à "&amp;Annexes!O5&amp;" € pour le mois de Décembre","Vous pouvez bénéficier, au titre de cette aide, d'un montant de "&amp;ROUND(AB136,0)&amp;" € pour le mois de Décembre"),"L'entreprise n'a pas une perte d'au moins 50 % en Décembre 2020")),"Vous n'avez pas indiqué de chiffre d'affaires de référence")</f>
        <v>L'entreprise n'a pas une perte d'au moins 50 % en Décembre 2020</v>
      </c>
      <c r="E138" s="451"/>
      <c r="F138" s="451"/>
      <c r="G138" s="451"/>
      <c r="H138" s="451"/>
      <c r="I138" s="451"/>
      <c r="J138" s="451"/>
      <c r="K138" s="451"/>
      <c r="L138" s="451"/>
      <c r="M138" s="451"/>
      <c r="N138" s="451"/>
      <c r="O138" s="452"/>
      <c r="P138" s="1"/>
      <c r="T138" s="14"/>
      <c r="U138" s="1"/>
      <c r="V138" s="1"/>
      <c r="W138" s="1"/>
      <c r="X138" s="1"/>
      <c r="Y138" s="1"/>
      <c r="Z138" s="1"/>
      <c r="AA138" s="1"/>
      <c r="AB138" s="1"/>
      <c r="AC138" s="1"/>
      <c r="AD138" s="1"/>
      <c r="AE138" s="13"/>
    </row>
    <row r="139" spans="2:31" ht="15.75" hidden="1" customHeight="1">
      <c r="B139" s="169"/>
      <c r="C139" s="164"/>
      <c r="D139" s="453"/>
      <c r="E139" s="454"/>
      <c r="F139" s="454"/>
      <c r="G139" s="454"/>
      <c r="H139" s="454"/>
      <c r="I139" s="454"/>
      <c r="J139" s="454"/>
      <c r="K139" s="454"/>
      <c r="L139" s="454"/>
      <c r="M139" s="454"/>
      <c r="N139" s="454"/>
      <c r="O139" s="455"/>
      <c r="P139" s="1"/>
      <c r="T139" s="14"/>
      <c r="U139" s="1"/>
      <c r="V139" s="1"/>
      <c r="W139" s="1"/>
      <c r="X139" s="1"/>
      <c r="Y139" s="1"/>
      <c r="Z139" s="1"/>
      <c r="AA139" s="1"/>
      <c r="AB139" s="1"/>
      <c r="AC139" s="1"/>
      <c r="AD139" s="1"/>
      <c r="AE139" s="13"/>
    </row>
    <row r="140" spans="2:31" ht="15.75" hidden="1" customHeight="1">
      <c r="B140" s="103"/>
      <c r="C140" s="164"/>
      <c r="D140" s="453"/>
      <c r="E140" s="454"/>
      <c r="F140" s="454"/>
      <c r="G140" s="454"/>
      <c r="H140" s="454"/>
      <c r="I140" s="454"/>
      <c r="J140" s="454"/>
      <c r="K140" s="454"/>
      <c r="L140" s="454"/>
      <c r="M140" s="454"/>
      <c r="N140" s="454"/>
      <c r="O140" s="455"/>
      <c r="P140" s="1"/>
      <c r="T140" s="14"/>
      <c r="U140" s="1"/>
      <c r="V140" s="1"/>
      <c r="W140" s="1"/>
      <c r="X140" s="1"/>
      <c r="Y140" s="1"/>
      <c r="Z140" s="1"/>
      <c r="AA140" s="1"/>
      <c r="AB140" s="1"/>
      <c r="AC140" s="1"/>
      <c r="AD140" s="1"/>
      <c r="AE140" s="13"/>
    </row>
    <row r="141" spans="2:31" ht="15.75" hidden="1" customHeight="1" thickBot="1">
      <c r="B141" s="103"/>
      <c r="C141" s="164"/>
      <c r="D141" s="456"/>
      <c r="E141" s="457"/>
      <c r="F141" s="457"/>
      <c r="G141" s="457"/>
      <c r="H141" s="457"/>
      <c r="I141" s="457"/>
      <c r="J141" s="457"/>
      <c r="K141" s="457"/>
      <c r="L141" s="457"/>
      <c r="M141" s="457"/>
      <c r="N141" s="457"/>
      <c r="O141" s="458"/>
      <c r="P141" s="1"/>
      <c r="T141" s="14"/>
      <c r="U141" s="1"/>
      <c r="V141" s="1"/>
      <c r="W141" s="1"/>
      <c r="X141" s="1"/>
      <c r="Y141" s="1"/>
      <c r="Z141" s="1"/>
      <c r="AA141" s="1"/>
      <c r="AB141" s="1"/>
      <c r="AC141" s="1"/>
      <c r="AD141" s="1"/>
      <c r="AE141" s="13"/>
    </row>
    <row r="142" spans="2:31" ht="16.5" hidden="1" customHeight="1">
      <c r="B142" s="103"/>
      <c r="C142" s="170"/>
      <c r="D142" s="171"/>
      <c r="E142" s="171"/>
      <c r="F142" s="171"/>
      <c r="G142" s="171"/>
      <c r="H142" s="171"/>
      <c r="I142" s="171"/>
      <c r="J142" s="171"/>
      <c r="K142" s="171"/>
      <c r="L142" s="171"/>
      <c r="M142" s="171"/>
      <c r="N142" s="171"/>
      <c r="O142" s="171"/>
      <c r="P142" s="1"/>
      <c r="T142" s="14"/>
      <c r="U142" s="1"/>
      <c r="V142" s="1"/>
      <c r="W142" s="1"/>
      <c r="X142" s="1"/>
      <c r="Y142" s="1"/>
      <c r="Z142" s="1"/>
      <c r="AA142" s="1"/>
      <c r="AB142" s="1"/>
      <c r="AC142" s="1"/>
      <c r="AD142" s="1"/>
      <c r="AE142" s="13"/>
    </row>
    <row r="143" spans="2:31" ht="16.5" hidden="1" customHeight="1">
      <c r="B143" s="103"/>
      <c r="C143" s="164"/>
      <c r="D143" s="167"/>
      <c r="E143" s="167"/>
      <c r="F143" s="167"/>
      <c r="G143" s="167"/>
      <c r="H143" s="167"/>
      <c r="I143" s="167"/>
      <c r="J143" s="167"/>
      <c r="K143" s="167"/>
      <c r="L143" s="167"/>
      <c r="M143" s="167"/>
      <c r="N143" s="167"/>
      <c r="O143" s="167"/>
      <c r="P143" s="1"/>
      <c r="T143" s="460" t="s">
        <v>4</v>
      </c>
      <c r="U143" s="461"/>
      <c r="V143" s="461"/>
      <c r="W143" s="461"/>
      <c r="X143" s="461"/>
      <c r="Y143" s="461"/>
      <c r="Z143" s="139"/>
      <c r="AA143" s="145"/>
      <c r="AB143" s="195">
        <f>IFERROR(IF('Mon Entreprise'!K8&gt;=Annexes!Q18,0,1-'Mon Entreprise'!M93/2/AB135),0)</f>
        <v>0</v>
      </c>
      <c r="AC143" s="1"/>
      <c r="AD143" s="1"/>
      <c r="AE143" s="13"/>
    </row>
    <row r="144" spans="2:31" ht="16.5" hidden="1" customHeight="1">
      <c r="B144" s="103"/>
      <c r="C144" s="463" t="s">
        <v>112</v>
      </c>
      <c r="D144" s="463"/>
      <c r="E144" s="463"/>
      <c r="F144" s="463"/>
      <c r="G144" s="463"/>
      <c r="H144" s="463"/>
      <c r="I144" s="463"/>
      <c r="J144" s="463"/>
      <c r="K144" s="463"/>
      <c r="L144" s="463"/>
      <c r="M144" s="463"/>
      <c r="N144" s="463"/>
      <c r="O144" s="463"/>
      <c r="P144" s="1"/>
      <c r="T144" s="110"/>
      <c r="U144" s="462" t="s">
        <v>102</v>
      </c>
      <c r="V144" s="462"/>
      <c r="W144" s="462"/>
      <c r="X144" s="462"/>
      <c r="Y144" s="462"/>
      <c r="Z144" s="139"/>
      <c r="AA144" s="145"/>
      <c r="AB144" s="195">
        <f>IFERROR(IF('Mon Entreprise'!K8&gt;Annexes!Q26,0,1-'Mon Entreprise'!M89/AB135),0)</f>
        <v>0</v>
      </c>
      <c r="AC144" s="1"/>
      <c r="AD144" s="1"/>
      <c r="AE144" s="13"/>
    </row>
    <row r="145" spans="1:31" ht="16.5" hidden="1" customHeight="1">
      <c r="B145" s="103"/>
      <c r="C145" s="463"/>
      <c r="D145" s="463"/>
      <c r="E145" s="463"/>
      <c r="F145" s="463"/>
      <c r="G145" s="463"/>
      <c r="H145" s="463"/>
      <c r="I145" s="463"/>
      <c r="J145" s="463"/>
      <c r="K145" s="463"/>
      <c r="L145" s="463"/>
      <c r="M145" s="463"/>
      <c r="N145" s="463"/>
      <c r="O145" s="463"/>
      <c r="P145" s="1"/>
      <c r="T145" s="110"/>
      <c r="U145" s="462" t="s">
        <v>109</v>
      </c>
      <c r="V145" s="462"/>
      <c r="W145" s="462"/>
      <c r="X145" s="462"/>
      <c r="Y145" s="462"/>
      <c r="Z145" s="139"/>
      <c r="AA145" s="145"/>
      <c r="AB145" s="195">
        <f>IFERROR(IF(Annexes!O27&gt;'Mon Entreprise'!K8,1-'Mon Entreprise'!M73/'Mon Entreprise'!I73,""),0)</f>
        <v>0</v>
      </c>
      <c r="AC145" s="1"/>
      <c r="AD145" s="1"/>
      <c r="AE145" s="13"/>
    </row>
    <row r="146" spans="1:31" ht="16.5" hidden="1" customHeight="1">
      <c r="B146" s="103"/>
      <c r="C146" s="463"/>
      <c r="D146" s="463"/>
      <c r="E146" s="463"/>
      <c r="F146" s="463"/>
      <c r="G146" s="463"/>
      <c r="H146" s="463"/>
      <c r="I146" s="463"/>
      <c r="J146" s="463"/>
      <c r="K146" s="463"/>
      <c r="L146" s="463"/>
      <c r="M146" s="463"/>
      <c r="N146" s="463"/>
      <c r="O146" s="463"/>
      <c r="P146" s="1"/>
      <c r="T146" s="14"/>
      <c r="U146" s="464" t="s">
        <v>8</v>
      </c>
      <c r="V146" s="464"/>
      <c r="W146" s="464"/>
      <c r="X146" s="464"/>
      <c r="Y146" s="464"/>
      <c r="Z146" s="1"/>
      <c r="AA146" s="14"/>
      <c r="AB146" s="179" t="str">
        <f>IF((AND(Annexes!F5&gt;1,Annexes!F5&lt;=Annexes!H6)),"OUI","NON")</f>
        <v>NON</v>
      </c>
      <c r="AC146" s="1"/>
      <c r="AD146" s="1"/>
      <c r="AE146" s="13"/>
    </row>
    <row r="147" spans="1:31" ht="16.5" hidden="1" customHeight="1">
      <c r="B147" s="103"/>
      <c r="C147" s="164"/>
      <c r="D147" s="167"/>
      <c r="E147" s="359"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47" s="359"/>
      <c r="G147" s="359"/>
      <c r="H147" s="359"/>
      <c r="I147" s="359"/>
      <c r="J147" s="359"/>
      <c r="K147" s="359"/>
      <c r="L147" s="359"/>
      <c r="M147" s="359"/>
      <c r="N147" s="359"/>
      <c r="O147" s="359"/>
      <c r="P147" s="1"/>
      <c r="T147" s="14"/>
      <c r="U147" s="435" t="s">
        <v>113</v>
      </c>
      <c r="V147" s="435"/>
      <c r="W147" s="435"/>
      <c r="X147" s="435"/>
      <c r="Y147" s="435"/>
      <c r="Z147" s="1"/>
      <c r="AA147" s="14"/>
      <c r="AB147" s="179" t="str">
        <f>IF(OR(Annexes!M17=TRUE,AND(Annexes!F7&gt;1,Annexes!F7&lt;=Annexes!H8)),"OUI","NON")</f>
        <v>NON</v>
      </c>
      <c r="AC147" s="1"/>
      <c r="AD147" s="1"/>
      <c r="AE147" s="13"/>
    </row>
    <row r="148" spans="1:31" ht="16.5" hidden="1" customHeight="1">
      <c r="B148" s="169"/>
      <c r="C148" s="164"/>
      <c r="D148" s="167"/>
      <c r="E148" s="359"/>
      <c r="F148" s="359"/>
      <c r="G148" s="359"/>
      <c r="H148" s="359"/>
      <c r="I148" s="359"/>
      <c r="J148" s="359"/>
      <c r="K148" s="359"/>
      <c r="L148" s="359"/>
      <c r="M148" s="359"/>
      <c r="N148" s="359"/>
      <c r="O148" s="359"/>
      <c r="P148" s="1"/>
      <c r="T148" s="14"/>
      <c r="U148" s="435" t="s">
        <v>12</v>
      </c>
      <c r="V148" s="435"/>
      <c r="W148" s="435"/>
      <c r="X148" s="435"/>
      <c r="Y148" s="435"/>
      <c r="Z148" s="1"/>
      <c r="AA148" s="14"/>
      <c r="AB148" s="179" t="b">
        <f>Annexes!M15</f>
        <v>0</v>
      </c>
      <c r="AC148" s="1"/>
      <c r="AD148" s="1"/>
      <c r="AE148" s="13"/>
    </row>
    <row r="149" spans="1:31" ht="16.5" hidden="1" customHeight="1">
      <c r="A149" s="99"/>
      <c r="B149" s="103"/>
      <c r="C149" s="164"/>
      <c r="D149" s="465"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9" s="465"/>
      <c r="F149" s="465"/>
      <c r="G149" s="465"/>
      <c r="H149" s="465"/>
      <c r="I149" s="465"/>
      <c r="J149" s="465"/>
      <c r="K149" s="465"/>
      <c r="L149" s="465"/>
      <c r="M149" s="465"/>
      <c r="N149" s="465"/>
      <c r="O149" s="465"/>
      <c r="P149" s="1"/>
      <c r="T149" s="14"/>
      <c r="U149" s="467" t="s">
        <v>72</v>
      </c>
      <c r="V149" s="467"/>
      <c r="W149" s="467"/>
      <c r="X149" s="467"/>
      <c r="Y149" s="467"/>
      <c r="Z149" s="139"/>
      <c r="AA149" s="145"/>
      <c r="AB149" s="190" t="str">
        <f>IF('Mon Entreprise'!K8&lt;=Annexes!Q24,"Oui","Non")</f>
        <v>Oui</v>
      </c>
      <c r="AC149" s="139"/>
      <c r="AD149" s="1"/>
      <c r="AE149" s="13"/>
    </row>
    <row r="150" spans="1:31" ht="16.5" hidden="1" customHeight="1">
      <c r="B150" s="103"/>
      <c r="C150" s="164"/>
      <c r="D150" s="173" t="str">
        <f>IF(OR(AB146="OUI",AB148=TRUE),"- Sans ticket modérateur",IF(AND(AB147="OUI",OR(AB143&gt;=0.8,AB144&gt;=0.8,AB145&gt;=0.1)),"- La Perte de référence est plafonnée à 80 %, soit "&amp;ROUND(AB154,0)&amp;" €","- Sans ticket modérateur"))</f>
        <v>- Sans ticket modérateur</v>
      </c>
      <c r="E150" s="172"/>
      <c r="F150" s="172"/>
      <c r="G150" s="172"/>
      <c r="H150" s="172"/>
      <c r="I150" s="172"/>
      <c r="J150" s="172"/>
      <c r="K150" s="172"/>
      <c r="L150" s="172"/>
      <c r="M150" s="172"/>
      <c r="N150" s="172"/>
      <c r="O150" s="172"/>
      <c r="P150" s="1"/>
      <c r="T150" s="14"/>
      <c r="U150" s="467" t="s">
        <v>84</v>
      </c>
      <c r="V150" s="467"/>
      <c r="W150" s="467"/>
      <c r="X150" s="467"/>
      <c r="Y150" s="467"/>
      <c r="Z150" s="139"/>
      <c r="AA150" s="145"/>
      <c r="AB150" s="190">
        <f>IF('Mon Entreprise'!K8&gt;=Annexes!O20,IF(AB126&gt;=AB128,AB126,AB128),IF(AB126&gt;=AB127,AB126,AB127))</f>
        <v>0</v>
      </c>
      <c r="AC150" s="139"/>
      <c r="AD150" s="1"/>
      <c r="AE150" s="13"/>
    </row>
    <row r="151" spans="1:31" ht="16.5" hidden="1" customHeight="1" thickBot="1">
      <c r="B151" s="103"/>
      <c r="C151" s="164"/>
      <c r="D151" s="172"/>
      <c r="E151" s="172"/>
      <c r="F151" s="172"/>
      <c r="G151" s="172"/>
      <c r="H151" s="172"/>
      <c r="I151" s="172"/>
      <c r="J151" s="172"/>
      <c r="K151" s="172"/>
      <c r="L151" s="172"/>
      <c r="M151" s="172"/>
      <c r="N151" s="172"/>
      <c r="O151" s="172"/>
      <c r="P151" s="1"/>
      <c r="T151" s="14"/>
      <c r="U151" s="467" t="s">
        <v>85</v>
      </c>
      <c r="V151" s="467"/>
      <c r="W151" s="467"/>
      <c r="X151" s="467"/>
      <c r="Y151" s="467"/>
      <c r="Z151" s="139"/>
      <c r="AA151" s="145"/>
      <c r="AB151" s="190">
        <f>IF('Mon Entreprise'!K8&gt;=Annexes!O20,IF(AB126&gt;=AB128,AE126,AE128),IF(AB126&gt;=AB127,AE126,AE127))</f>
        <v>0</v>
      </c>
      <c r="AC151" s="139"/>
      <c r="AD151" s="1"/>
      <c r="AE151" s="13"/>
    </row>
    <row r="152" spans="1:31" ht="16.5" hidden="1" customHeight="1">
      <c r="B152" s="103"/>
      <c r="C152" s="164"/>
      <c r="D152" s="450" t="str">
        <f>IFERROR(IF('Mon Entreprise'!K8&gt;Annexes!Q24,"Vous avez débuté votre activité après le 30 Septembre 2020, vous ne pouvez donc pas bénéficier de cette aide",IF(AB148=TRUE,IF(AB154&gt;Annexes!O6,"Dans votre cas, l'aide est Plafonnée, à "&amp;Annexes!O6&amp;" € pour le mois de Décembre","Vous pouvez bénéficier, au titre de cette aide, d'un montant de "&amp;ROUND(AB154,0)&amp;" € pour le mois de Décembre"),IF(AB151&gt;=0.5,IF(OR(AB146="OUI",AND(AB147="OUI",OR(AB143&gt;=Annexes!P5,AB144&gt;=Annexes!P5,AB145&gt;=0.1))),IF(AB154&gt;Annexes!O6,"Dans votre cas, l'aide est Plafonnée, à "&amp;Annexes!O6&amp;" € pour le mois de Décembre","Vous pouvez bénéficier, au titre de cette aide, d'un montant de "&amp;ROUND(AB154,0)&amp;" € pour le mois de Décembre"),IF(AND(AB147="OUI",OR(AB143&lt;Annexes!P5,AB144&lt;Annexes!P5,AB145&lt;0.1)),"L'entreprise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2" s="451"/>
      <c r="F152" s="451"/>
      <c r="G152" s="451"/>
      <c r="H152" s="451"/>
      <c r="I152" s="451"/>
      <c r="J152" s="451"/>
      <c r="K152" s="451"/>
      <c r="L152" s="451"/>
      <c r="M152" s="451"/>
      <c r="N152" s="451"/>
      <c r="O152" s="452"/>
      <c r="P152" s="1"/>
      <c r="T152" s="14"/>
      <c r="U152" s="447" t="s">
        <v>74</v>
      </c>
      <c r="V152" s="447"/>
      <c r="W152" s="447"/>
      <c r="X152" s="447"/>
      <c r="Y152" s="447"/>
      <c r="Z152" s="139"/>
      <c r="AA152" s="145"/>
      <c r="AB152" s="190">
        <f>IF(OR(AB146="OUI",AB148=TRUE),1,IF(AND(AB147="OUI",OR(AB143&gt;=0.8,AB144&gt;=0.8)),0.8,1))</f>
        <v>1</v>
      </c>
      <c r="AC152" s="139"/>
      <c r="AD152" s="1"/>
      <c r="AE152" s="13"/>
    </row>
    <row r="153" spans="1:31" ht="16.5" hidden="1" customHeight="1">
      <c r="B153" s="174"/>
      <c r="C153" s="164"/>
      <c r="D153" s="453"/>
      <c r="E153" s="454"/>
      <c r="F153" s="454"/>
      <c r="G153" s="454"/>
      <c r="H153" s="454"/>
      <c r="I153" s="454"/>
      <c r="J153" s="454"/>
      <c r="K153" s="454"/>
      <c r="L153" s="454"/>
      <c r="M153" s="454"/>
      <c r="N153" s="454"/>
      <c r="O153" s="455"/>
      <c r="P153" s="1"/>
      <c r="T153" s="14"/>
      <c r="U153" s="447" t="s">
        <v>80</v>
      </c>
      <c r="V153" s="447"/>
      <c r="W153" s="447"/>
      <c r="X153" s="447"/>
      <c r="Y153" s="447"/>
      <c r="Z153" s="139"/>
      <c r="AA153" s="145"/>
      <c r="AB153" s="190">
        <f>IF('Mon Entreprise'!K8&gt;=Annexes!O20,IF(AB126&gt;=AB128,Y126,Y128),IF(AB126&gt;=AB127,Y126,Y127))</f>
        <v>0</v>
      </c>
      <c r="AC153" s="139"/>
      <c r="AD153" s="1"/>
      <c r="AE153" s="13"/>
    </row>
    <row r="154" spans="1:31" ht="16.5" hidden="1" customHeight="1">
      <c r="B154" s="103"/>
      <c r="C154" s="164"/>
      <c r="D154" s="453"/>
      <c r="E154" s="454"/>
      <c r="F154" s="454"/>
      <c r="G154" s="454"/>
      <c r="H154" s="454"/>
      <c r="I154" s="454"/>
      <c r="J154" s="454"/>
      <c r="K154" s="454"/>
      <c r="L154" s="454"/>
      <c r="M154" s="454"/>
      <c r="N154" s="454"/>
      <c r="O154" s="455"/>
      <c r="P154" s="1"/>
      <c r="T154" s="14"/>
      <c r="U154" s="435" t="s">
        <v>104</v>
      </c>
      <c r="V154" s="435"/>
      <c r="W154" s="435"/>
      <c r="X154" s="435"/>
      <c r="Y154" s="435"/>
      <c r="Z154" s="1"/>
      <c r="AA154" s="14"/>
      <c r="AB154" s="179">
        <f>IF(AB152=1,AB150,IF(AB150*AB152&gt;1500,IF(AB150&gt;1500,AB150*AB152,"Impossible"),IF(AB150&lt;1500,AB150,1500)))</f>
        <v>0</v>
      </c>
      <c r="AC154" s="1"/>
      <c r="AD154" s="1"/>
      <c r="AE154" s="13"/>
    </row>
    <row r="155" spans="1:31" ht="16.5" hidden="1" customHeight="1" thickBot="1">
      <c r="B155" s="103"/>
      <c r="C155" s="164"/>
      <c r="D155" s="456"/>
      <c r="E155" s="457"/>
      <c r="F155" s="457"/>
      <c r="G155" s="457"/>
      <c r="H155" s="457"/>
      <c r="I155" s="457"/>
      <c r="J155" s="457"/>
      <c r="K155" s="457"/>
      <c r="L155" s="457"/>
      <c r="M155" s="457"/>
      <c r="N155" s="457"/>
      <c r="O155" s="458"/>
      <c r="P155" s="1"/>
      <c r="T155" s="14"/>
      <c r="U155" s="162"/>
      <c r="V155" s="162"/>
      <c r="W155" s="162"/>
      <c r="X155" s="162"/>
      <c r="Y155" s="162"/>
      <c r="Z155" s="1"/>
      <c r="AA155" s="1"/>
      <c r="AB155" s="1"/>
      <c r="AC155" s="1"/>
      <c r="AD155" s="1"/>
      <c r="AE155" s="13"/>
    </row>
    <row r="156" spans="1:31" ht="16.5" hidden="1" customHeight="1">
      <c r="B156" s="103"/>
      <c r="C156" s="170"/>
      <c r="D156" s="175"/>
      <c r="E156" s="175"/>
      <c r="F156" s="175"/>
      <c r="G156" s="175"/>
      <c r="H156" s="175"/>
      <c r="I156" s="175"/>
      <c r="J156" s="175"/>
      <c r="K156" s="175"/>
      <c r="L156" s="175"/>
      <c r="M156" s="175"/>
      <c r="N156" s="175"/>
      <c r="O156" s="175"/>
      <c r="P156" s="1"/>
      <c r="T156" s="14"/>
      <c r="U156" s="435"/>
      <c r="V156" s="435"/>
      <c r="W156" s="435"/>
      <c r="X156" s="435"/>
      <c r="Y156" s="435"/>
      <c r="Z156" s="1"/>
      <c r="AA156" s="1"/>
      <c r="AB156" s="1"/>
      <c r="AC156" s="1"/>
      <c r="AD156" s="1"/>
      <c r="AE156" s="13"/>
    </row>
    <row r="157" spans="1:31" ht="16.5" hidden="1" customHeight="1">
      <c r="B157" s="103"/>
      <c r="C157" s="164"/>
      <c r="D157" s="172"/>
      <c r="E157" s="172"/>
      <c r="F157" s="172"/>
      <c r="G157" s="172"/>
      <c r="H157" s="172"/>
      <c r="I157" s="172"/>
      <c r="J157" s="172"/>
      <c r="K157" s="172"/>
      <c r="L157" s="172"/>
      <c r="M157" s="172"/>
      <c r="N157" s="172"/>
      <c r="O157" s="172"/>
      <c r="P157" s="1"/>
      <c r="T157" s="14"/>
      <c r="U157" s="162"/>
      <c r="V157" s="162"/>
      <c r="W157" s="162"/>
      <c r="X157" s="162"/>
      <c r="Y157" s="162"/>
      <c r="Z157" s="1"/>
      <c r="AA157" s="1"/>
      <c r="AB157" s="1"/>
      <c r="AC157" s="1"/>
      <c r="AD157" s="1"/>
      <c r="AE157" s="13"/>
    </row>
    <row r="158" spans="1:31" ht="16.5" hidden="1" customHeight="1">
      <c r="B158" s="103"/>
      <c r="C158" s="469" t="s">
        <v>114</v>
      </c>
      <c r="D158" s="469"/>
      <c r="E158" s="469"/>
      <c r="F158" s="469"/>
      <c r="G158" s="469"/>
      <c r="H158" s="469"/>
      <c r="I158" s="469"/>
      <c r="J158" s="469"/>
      <c r="K158" s="469"/>
      <c r="L158" s="469"/>
      <c r="M158" s="469"/>
      <c r="N158" s="469"/>
      <c r="O158" s="469"/>
      <c r="P158" s="1"/>
      <c r="T158" s="14"/>
      <c r="U158" s="1"/>
      <c r="V158" s="1"/>
      <c r="W158" s="1"/>
      <c r="X158" s="1"/>
      <c r="Y158" s="1"/>
      <c r="Z158" s="1"/>
      <c r="AA158" s="1"/>
      <c r="AB158" s="1"/>
      <c r="AC158" s="1"/>
      <c r="AD158" s="1"/>
      <c r="AE158" s="13"/>
    </row>
    <row r="159" spans="1:31" ht="16.5" hidden="1" customHeight="1">
      <c r="B159" s="103"/>
      <c r="C159" s="469"/>
      <c r="D159" s="469"/>
      <c r="E159" s="469"/>
      <c r="F159" s="469"/>
      <c r="G159" s="469"/>
      <c r="H159" s="469"/>
      <c r="I159" s="469"/>
      <c r="J159" s="469"/>
      <c r="K159" s="469"/>
      <c r="L159" s="469"/>
      <c r="M159" s="469"/>
      <c r="N159" s="469"/>
      <c r="O159" s="469"/>
      <c r="P159" s="1"/>
      <c r="T159" s="14"/>
      <c r="U159" s="1"/>
      <c r="V159" s="1"/>
      <c r="W159" s="1"/>
      <c r="X159" s="1"/>
      <c r="Y159" s="1"/>
      <c r="Z159" s="1"/>
      <c r="AA159" s="1"/>
      <c r="AB159" s="1"/>
      <c r="AC159" s="1"/>
      <c r="AD159" s="1"/>
      <c r="AE159" s="13"/>
    </row>
    <row r="160" spans="1:31" ht="16.5" hidden="1" customHeight="1">
      <c r="B160" s="174"/>
      <c r="C160" s="469"/>
      <c r="D160" s="469"/>
      <c r="E160" s="469"/>
      <c r="F160" s="469"/>
      <c r="G160" s="469"/>
      <c r="H160" s="469"/>
      <c r="I160" s="469"/>
      <c r="J160" s="469"/>
      <c r="K160" s="469"/>
      <c r="L160" s="469"/>
      <c r="M160" s="469"/>
      <c r="N160" s="469"/>
      <c r="O160" s="469"/>
      <c r="P160" s="1"/>
      <c r="T160" s="14"/>
      <c r="U160" s="447" t="s">
        <v>82</v>
      </c>
      <c r="V160" s="447"/>
      <c r="W160" s="447"/>
      <c r="X160" s="447"/>
      <c r="Y160" s="447"/>
      <c r="Z160" s="68"/>
      <c r="AA160" s="1"/>
      <c r="AB160" s="1">
        <f>IFERROR(IF(AB134="Non",0,IF(AB137&gt;=0.5,IF(AB136&gt;Annexes!O5,Annexes!O5,ROUND(AB136,0)),0)),0)</f>
        <v>0</v>
      </c>
      <c r="AC160" s="1"/>
      <c r="AD160" s="1"/>
      <c r="AE160" s="13"/>
    </row>
    <row r="161" spans="2:31" ht="16.5" hidden="1" customHeight="1">
      <c r="B161" s="174"/>
      <c r="C161" s="164"/>
      <c r="D161" s="167"/>
      <c r="E161" s="359"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1" s="359"/>
      <c r="G161" s="359"/>
      <c r="H161" s="359"/>
      <c r="I161" s="359"/>
      <c r="J161" s="359"/>
      <c r="K161" s="359"/>
      <c r="L161" s="359"/>
      <c r="M161" s="359"/>
      <c r="N161" s="359"/>
      <c r="O161" s="359"/>
      <c r="P161" s="1"/>
      <c r="T161" s="14"/>
      <c r="U161" s="447" t="s">
        <v>81</v>
      </c>
      <c r="V161" s="447"/>
      <c r="W161" s="447"/>
      <c r="X161" s="447"/>
      <c r="Y161" s="447"/>
      <c r="Z161" s="68"/>
      <c r="AA161" s="1"/>
      <c r="AB161" s="1">
        <f>IFERROR(IF('Mon Entreprise'!K8&gt;Annexes!Q24,0,IF(AB148=TRUE,IF(AB154&gt;Annexes!O6,Annexes!O6,ROUND(AB154,0)),IF(AB151&gt;=0.5,IF(OR(AB146="OUI",AND(AB147="OUI",OR(AB143&gt;=Annexes!P5,AB144&gt;=Annexes!P5))),IF(AB154&gt;Annexes!O6,Annexes!O6,ROUND(AB154,0)),IF(AND(AB147="OUI",OR(AB143&lt;Annexes!P5,AB144&lt;Annexes!P5)),0,0)),0))),0)</f>
        <v>0</v>
      </c>
      <c r="AC161" s="1"/>
      <c r="AD161" s="1"/>
      <c r="AE161" s="13"/>
    </row>
    <row r="162" spans="2:31" ht="16.5" hidden="1" customHeight="1">
      <c r="B162" s="174"/>
      <c r="C162" s="164"/>
      <c r="D162" s="167"/>
      <c r="E162" s="359"/>
      <c r="F162" s="359"/>
      <c r="G162" s="359"/>
      <c r="H162" s="359"/>
      <c r="I162" s="359"/>
      <c r="J162" s="359"/>
      <c r="K162" s="359"/>
      <c r="L162" s="359"/>
      <c r="M162" s="359"/>
      <c r="N162" s="359"/>
      <c r="O162" s="359"/>
      <c r="P162" s="1"/>
      <c r="T162" s="14"/>
      <c r="U162" s="447" t="s">
        <v>399</v>
      </c>
      <c r="V162" s="447"/>
      <c r="W162" s="447"/>
      <c r="X162" s="447"/>
      <c r="Y162" s="447"/>
      <c r="Z162" s="68"/>
      <c r="AA162" s="1"/>
      <c r="AB162" s="1">
        <f>IFERROR(IF('Mon Entreprise'!K8&gt;Annexes!Q24,0,IF(AB148=TRUE,IF(AB153=0,0,IF(AB150&lt;AB153*0.2,ROUND(AB150,0),IF(AB153*0.2&gt;=200000,Annexes!O8,ROUND(AB153*0.2,0)))),IF(AB146="OUI",IF(AB151&gt;=0.7,IF(AB150&lt;AB153*0.2,ROUND(AB150,0),IF(AB153*0.2&gt;=200000,Annexes!O8,ROUND(AB153*0.2,0))),IF(AB151&gt;=0.5,IF(AB150&lt;AB153*0.15,ROUND(AB150,0),IF(AB153*0.15&gt;=200000,Annexes!O8,ROUND(AB153*0.15,0))),IF(AND(AB147="OUI",OR(AB143&gt;=0.8,AB144&gt;=0.8,AB145&gt;=0.1),AB151&gt;=0.7),IF(AB150&lt;AB153*0.2,ROUND(AB150,0),IF(AB153*0.2&gt;=200000,Annexes!O8,ROUND(AB153*0.2,0))),0))),IF(AND(AB147="OUI",OR(AB143&gt;=0.8,AB144&gt;=0.8,AB145&gt;=0.1),AB151&gt;=0.7),IF(AB150&lt;AB153*0.2,ROUND(AB150,0),IF(AB153*0.2&gt;=200000,Annexes!O8,ROUND(AB153*0.2,0))),0)))),0)</f>
        <v>0</v>
      </c>
      <c r="AC162" s="1"/>
      <c r="AD162" s="1"/>
      <c r="AE162" s="13"/>
    </row>
    <row r="163" spans="2:31" ht="16.5" hidden="1" customHeight="1">
      <c r="B163" s="174"/>
      <c r="C163" s="164"/>
      <c r="D163" s="359"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3" s="359"/>
      <c r="F163" s="359"/>
      <c r="G163" s="359"/>
      <c r="H163" s="359"/>
      <c r="I163" s="359"/>
      <c r="J163" s="359"/>
      <c r="K163" s="359"/>
      <c r="L163" s="359"/>
      <c r="M163" s="359"/>
      <c r="N163" s="359"/>
      <c r="O163" s="359"/>
      <c r="P163" s="172"/>
      <c r="Q163" s="172"/>
      <c r="T163" s="14"/>
      <c r="U163" s="1"/>
      <c r="V163" s="1"/>
      <c r="W163" s="1"/>
      <c r="X163" s="1"/>
      <c r="Y163" s="1"/>
      <c r="Z163" s="1"/>
      <c r="AA163" s="1"/>
      <c r="AB163" s="1"/>
      <c r="AC163" s="1"/>
      <c r="AD163" s="1"/>
      <c r="AE163" s="13"/>
    </row>
    <row r="164" spans="2:31" ht="16.5" hidden="1" customHeight="1">
      <c r="B164" s="103"/>
      <c r="C164" s="164"/>
      <c r="D164" s="465" t="str">
        <f>IF(AB148=TRUE,"- L'entreprise peut bénéficier d'une aide de 20 % du CA de référence, plafonnée à 200 000 €",IF(AB146="OUI",IF(AB151&gt;=0.7,"- L'entreprise peut bénéficier d'une aide de 20 % du CA de référence, plafonnée à 200 000 €",IF(AB151&gt;=0.5,"- L'entreprise peut bénéficier d'une aide de 15 % du CA de référence, plafonnée à 200 000 €","- L'entreprise n'a subi ni de fermeture administrative au mois de Décembre, ni de perte d'au moins 50 % de son CA")),IF(AND(AB147="OUI",OR(AB143&gt;=0.8,AB144&gt;=0.8,AB145&gt;=0.1),AB151&gt;=0.7),"-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4" s="465"/>
      <c r="F164" s="465"/>
      <c r="G164" s="465"/>
      <c r="H164" s="465"/>
      <c r="I164" s="465"/>
      <c r="J164" s="465"/>
      <c r="K164" s="465"/>
      <c r="L164" s="465"/>
      <c r="M164" s="465"/>
      <c r="N164" s="465"/>
      <c r="O164" s="465"/>
      <c r="P164" s="172"/>
      <c r="Q164" s="172"/>
      <c r="T164" s="14"/>
      <c r="U164" s="1"/>
      <c r="V164" s="1"/>
      <c r="W164" s="1"/>
      <c r="X164" s="1"/>
      <c r="Y164" s="1"/>
      <c r="Z164" s="1"/>
      <c r="AA164" s="1"/>
      <c r="AB164" s="1"/>
      <c r="AC164" s="1"/>
      <c r="AD164" s="1"/>
      <c r="AE164" s="13"/>
    </row>
    <row r="165" spans="2:31" ht="16.5" hidden="1" customHeight="1">
      <c r="B165" s="169"/>
      <c r="C165" s="164"/>
      <c r="D165" s="465"/>
      <c r="E165" s="465"/>
      <c r="F165" s="465"/>
      <c r="G165" s="465"/>
      <c r="H165" s="465"/>
      <c r="I165" s="465"/>
      <c r="J165" s="465"/>
      <c r="K165" s="465"/>
      <c r="L165" s="465"/>
      <c r="M165" s="465"/>
      <c r="N165" s="465"/>
      <c r="O165" s="465"/>
      <c r="P165" s="172"/>
      <c r="Q165" s="172"/>
      <c r="T165" s="14"/>
      <c r="U165" s="1"/>
      <c r="V165" s="1"/>
      <c r="W165" s="1"/>
      <c r="X165" s="1"/>
      <c r="Y165" s="1"/>
      <c r="Z165" s="1"/>
      <c r="AA165" s="1"/>
      <c r="AB165" s="1"/>
      <c r="AC165" s="1"/>
      <c r="AD165" s="1"/>
      <c r="AE165" s="13"/>
    </row>
    <row r="166" spans="2:31" ht="16.5" hidden="1" customHeight="1" thickBot="1">
      <c r="B166" s="169"/>
      <c r="C166" s="202"/>
      <c r="D166" s="206"/>
      <c r="E166" s="198"/>
      <c r="F166" s="198"/>
      <c r="G166" s="198"/>
      <c r="H166" s="198"/>
      <c r="I166" s="198"/>
      <c r="J166" s="198"/>
      <c r="K166" s="198"/>
      <c r="L166" s="198"/>
      <c r="M166" s="198"/>
      <c r="N166" s="198"/>
      <c r="O166" s="198"/>
      <c r="P166" s="198"/>
      <c r="Q166" s="198"/>
      <c r="T166" s="14"/>
      <c r="U166" s="1"/>
      <c r="V166" s="1"/>
      <c r="W166" s="1"/>
      <c r="X166" s="1"/>
      <c r="Y166" s="1"/>
      <c r="Z166" s="1"/>
      <c r="AA166" s="1"/>
      <c r="AB166" s="1"/>
      <c r="AC166" s="1"/>
      <c r="AD166" s="1"/>
      <c r="AE166" s="13"/>
    </row>
    <row r="167" spans="2:31" ht="16.5" hidden="1" customHeight="1">
      <c r="B167" s="103"/>
      <c r="C167" s="181"/>
      <c r="D167" s="468" t="str">
        <f>IFERROR(IF('Mon Entreprise'!K8&gt;Annexes!Q24,"Vous avez débuté votre activité après le 30 Septembre 2020, vous ne pouvez donc pas bénéficier de cette aide",IF(AB148=TRUE,IF(AB153=0,"Vous n'avez pas indiqué de chiffre d'affaires de référence",IF(AB150&lt;AB153*0.2,"Dans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Décembre"))),IF(AB146="OUI",IF(AB151&gt;=0.7,IF(AB150&lt;AB153*0.2,"Dans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Décembre")),IF(AB151&gt;=0.5,IF(AB150&lt;AB153*0.15,"Dans votre cas, la perte est inférieure à 15 % du CA, l'aide est donc plafonnée à la perte, soit "&amp;ROUND(AB150,0)&amp;" € pour le mois de Décembre",IF(AB153*0.15&gt;=200000,"Dans votre cas, l'aide est plafonnée, à "&amp;Annexes!O8&amp;" € pour le mois de Décembre","Vous pouvez bénéficier, au titre de cette aide, d'un montant de "&amp;ROUND(AB153*0.15,0)&amp;" € pour le mois de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7" s="451"/>
      <c r="F167" s="451"/>
      <c r="G167" s="451"/>
      <c r="H167" s="451"/>
      <c r="I167" s="451"/>
      <c r="J167" s="451"/>
      <c r="K167" s="451"/>
      <c r="L167" s="451"/>
      <c r="M167" s="451"/>
      <c r="N167" s="451"/>
      <c r="O167" s="452"/>
      <c r="P167" s="172"/>
      <c r="Q167" s="172"/>
      <c r="T167" s="14"/>
      <c r="U167" s="1"/>
      <c r="V167" s="1"/>
      <c r="W167" s="1"/>
      <c r="X167" s="1"/>
      <c r="Y167" s="1"/>
      <c r="Z167" s="1"/>
      <c r="AA167" s="1"/>
      <c r="AB167" s="1"/>
      <c r="AC167" s="1"/>
      <c r="AD167" s="1"/>
      <c r="AE167" s="13"/>
    </row>
    <row r="168" spans="2:31" ht="16.5" hidden="1" customHeight="1">
      <c r="B168" s="103"/>
      <c r="C168" s="181"/>
      <c r="D168" s="453"/>
      <c r="E168" s="454"/>
      <c r="F168" s="454"/>
      <c r="G168" s="454"/>
      <c r="H168" s="454"/>
      <c r="I168" s="454"/>
      <c r="J168" s="454"/>
      <c r="K168" s="454"/>
      <c r="L168" s="454"/>
      <c r="M168" s="454"/>
      <c r="N168" s="454"/>
      <c r="O168" s="455"/>
      <c r="P168" s="172"/>
      <c r="Q168" s="172"/>
      <c r="T168" s="14"/>
      <c r="U168" s="1"/>
      <c r="V168" s="1"/>
      <c r="W168" s="1"/>
      <c r="X168" s="1"/>
      <c r="Y168" s="1"/>
      <c r="Z168" s="1"/>
      <c r="AA168" s="1"/>
      <c r="AB168" s="1"/>
      <c r="AC168" s="1"/>
      <c r="AD168" s="1"/>
      <c r="AE168" s="13"/>
    </row>
    <row r="169" spans="2:31" ht="16.5" hidden="1" customHeight="1">
      <c r="B169" s="103"/>
      <c r="C169" s="181"/>
      <c r="D169" s="453"/>
      <c r="E169" s="454"/>
      <c r="F169" s="454"/>
      <c r="G169" s="454"/>
      <c r="H169" s="454"/>
      <c r="I169" s="454"/>
      <c r="J169" s="454"/>
      <c r="K169" s="454"/>
      <c r="L169" s="454"/>
      <c r="M169" s="454"/>
      <c r="N169" s="454"/>
      <c r="O169" s="455"/>
      <c r="P169" s="176"/>
      <c r="Q169" s="176"/>
      <c r="T169" s="14"/>
      <c r="U169" s="1"/>
      <c r="V169" s="1"/>
      <c r="W169" s="1"/>
      <c r="X169" s="1"/>
      <c r="Y169" s="1"/>
      <c r="Z169" s="1"/>
      <c r="AA169" s="1"/>
      <c r="AB169" s="1"/>
      <c r="AC169" s="1"/>
      <c r="AD169" s="1"/>
      <c r="AE169" s="13"/>
    </row>
    <row r="170" spans="2:31" ht="16.5" hidden="1" customHeight="1" thickBot="1">
      <c r="B170" s="103"/>
      <c r="C170" s="181"/>
      <c r="D170" s="456"/>
      <c r="E170" s="457"/>
      <c r="F170" s="457"/>
      <c r="G170" s="457"/>
      <c r="H170" s="457"/>
      <c r="I170" s="457"/>
      <c r="J170" s="457"/>
      <c r="K170" s="457"/>
      <c r="L170" s="457"/>
      <c r="M170" s="457"/>
      <c r="N170" s="457"/>
      <c r="O170" s="458"/>
      <c r="T170" s="14"/>
      <c r="U170" s="1"/>
      <c r="V170" s="1"/>
      <c r="W170" s="1"/>
      <c r="X170" s="1"/>
      <c r="Y170" s="1"/>
      <c r="Z170" s="1"/>
      <c r="AA170" s="1"/>
      <c r="AB170" s="1"/>
      <c r="AC170" s="1"/>
      <c r="AD170" s="1"/>
      <c r="AE170" s="13"/>
    </row>
    <row r="171" spans="2:31" ht="15.75" hidden="1">
      <c r="B171" s="103"/>
      <c r="C171" s="164"/>
      <c r="D171" s="472" t="str">
        <f>IF(AND(AB147="OUI",AB162&gt;AB161,AB162&gt;AB160),"* Le cas échéant, l’aide perçue au titre de l’Art. 3-15 ou 3-16, si elle a déjà été demandée, vient en diminution de la présente aide complémentaire au titre de l'Art. 3-17 ou 3-18 du décret 2021-79 du 28 Janvier 2021","")</f>
        <v/>
      </c>
      <c r="E171" s="472"/>
      <c r="F171" s="472"/>
      <c r="G171" s="472"/>
      <c r="H171" s="472"/>
      <c r="I171" s="472"/>
      <c r="J171" s="472"/>
      <c r="K171" s="472"/>
      <c r="L171" s="472"/>
      <c r="M171" s="472"/>
      <c r="N171" s="472"/>
      <c r="O171" s="472"/>
      <c r="P171" s="177"/>
      <c r="Q171" s="177"/>
      <c r="T171" s="14"/>
      <c r="U171" s="1"/>
      <c r="V171" s="1"/>
      <c r="W171" s="1"/>
      <c r="X171" s="1"/>
      <c r="Y171" s="1"/>
      <c r="Z171" s="1"/>
      <c r="AA171" s="1"/>
      <c r="AB171" s="1"/>
      <c r="AC171" s="1"/>
      <c r="AD171" s="1"/>
      <c r="AE171" s="13"/>
    </row>
    <row r="172" spans="2:31" ht="31.5" hidden="1" customHeight="1">
      <c r="B172" s="5"/>
      <c r="C172" s="5"/>
      <c r="D172" s="234"/>
      <c r="E172" s="234"/>
      <c r="F172" s="234"/>
      <c r="G172" s="234"/>
      <c r="H172" s="234"/>
      <c r="I172" s="234"/>
      <c r="J172" s="234"/>
      <c r="K172" s="234"/>
      <c r="L172" s="234"/>
      <c r="M172" s="234"/>
      <c r="N172" s="234"/>
      <c r="O172" s="234"/>
      <c r="P172" s="178"/>
      <c r="Q172" s="178"/>
      <c r="T172" s="14"/>
      <c r="U172" s="1"/>
      <c r="V172" s="1"/>
      <c r="W172" s="1"/>
      <c r="X172" s="1"/>
      <c r="Y172" s="1"/>
      <c r="Z172" s="1"/>
      <c r="AA172" s="1"/>
      <c r="AB172" s="1"/>
      <c r="AC172" s="1"/>
      <c r="AD172" s="1"/>
      <c r="AE172" s="13"/>
    </row>
    <row r="173" spans="2:31">
      <c r="B173" s="5"/>
      <c r="C173" s="5"/>
      <c r="D173" s="298"/>
      <c r="E173" s="298"/>
      <c r="F173" s="298"/>
      <c r="G173" s="298"/>
      <c r="H173" s="298"/>
      <c r="I173" s="298"/>
      <c r="J173" s="298"/>
      <c r="K173" s="298"/>
      <c r="L173" s="298"/>
      <c r="M173" s="298"/>
      <c r="N173" s="298"/>
      <c r="O173" s="298"/>
      <c r="P173" s="178"/>
      <c r="Q173" s="178"/>
      <c r="T173" s="14"/>
      <c r="U173" s="1"/>
      <c r="V173" s="1"/>
      <c r="W173" s="1"/>
      <c r="X173" s="1"/>
      <c r="Y173" s="1"/>
      <c r="Z173" s="1"/>
      <c r="AA173" s="1"/>
      <c r="AB173" s="1"/>
      <c r="AC173" s="1"/>
      <c r="AD173" s="1"/>
      <c r="AE173" s="13"/>
    </row>
    <row r="174" spans="2:31">
      <c r="B174" s="473">
        <v>2021</v>
      </c>
      <c r="C174" s="473"/>
      <c r="D174" s="473"/>
      <c r="E174" s="473"/>
      <c r="F174" s="473"/>
      <c r="G174" s="473"/>
      <c r="H174" s="473"/>
      <c r="I174" s="473"/>
      <c r="J174" s="473"/>
      <c r="K174" s="473"/>
      <c r="L174" s="473"/>
      <c r="M174" s="473"/>
      <c r="N174" s="473"/>
      <c r="O174" s="473"/>
      <c r="P174" s="178"/>
      <c r="Q174" s="178"/>
      <c r="T174" s="14"/>
      <c r="U174" s="1"/>
      <c r="V174" s="1"/>
      <c r="W174" s="1"/>
      <c r="X174" s="1"/>
      <c r="Y174" s="1"/>
      <c r="Z174" s="1"/>
      <c r="AA174" s="1"/>
      <c r="AB174" s="1"/>
      <c r="AC174" s="1"/>
      <c r="AD174" s="1"/>
      <c r="AE174" s="13"/>
    </row>
    <row r="175" spans="2:31" ht="15.75" thickBot="1">
      <c r="B175" s="474"/>
      <c r="C175" s="474"/>
      <c r="D175" s="474"/>
      <c r="E175" s="474"/>
      <c r="F175" s="474"/>
      <c r="G175" s="474"/>
      <c r="H175" s="474"/>
      <c r="I175" s="474"/>
      <c r="J175" s="474"/>
      <c r="K175" s="474"/>
      <c r="L175" s="474"/>
      <c r="M175" s="474"/>
      <c r="N175" s="474"/>
      <c r="O175" s="474"/>
      <c r="P175" s="178"/>
      <c r="Q175" s="178"/>
      <c r="T175" s="16"/>
      <c r="U175" s="11"/>
      <c r="V175" s="11"/>
      <c r="W175" s="11"/>
      <c r="X175" s="11"/>
      <c r="Y175" s="11"/>
      <c r="Z175" s="11"/>
      <c r="AA175" s="11"/>
      <c r="AB175" s="11"/>
      <c r="AC175" s="11"/>
      <c r="AD175" s="11"/>
      <c r="AE175" s="12"/>
    </row>
    <row r="176" spans="2:31">
      <c r="D176" s="178"/>
      <c r="E176" s="178"/>
      <c r="F176" s="178"/>
      <c r="G176" s="178"/>
      <c r="H176" s="178"/>
      <c r="I176" s="178"/>
      <c r="J176" s="178"/>
      <c r="K176" s="178"/>
      <c r="L176" s="178"/>
      <c r="M176" s="178"/>
      <c r="N176" s="178"/>
      <c r="O176" s="178"/>
      <c r="P176" s="176"/>
      <c r="Q176" s="176"/>
      <c r="T176" s="14"/>
      <c r="U176" s="1"/>
      <c r="V176" s="1"/>
      <c r="W176" s="1"/>
      <c r="X176" s="1"/>
      <c r="Y176" s="1"/>
      <c r="Z176" s="1"/>
      <c r="AA176" s="1"/>
      <c r="AB176" s="1"/>
      <c r="AC176" s="1"/>
      <c r="AD176" s="1"/>
      <c r="AE176" s="13"/>
    </row>
    <row r="177" spans="2:31">
      <c r="D177" s="178"/>
      <c r="E177" s="178"/>
      <c r="F177" s="178"/>
      <c r="G177" s="178"/>
      <c r="H177" s="178"/>
      <c r="I177" s="178"/>
      <c r="J177" s="178"/>
      <c r="K177" s="178"/>
      <c r="L177" s="178"/>
      <c r="M177" s="178"/>
      <c r="N177" s="178"/>
      <c r="O177" s="178"/>
      <c r="P177" s="176"/>
      <c r="Q177" s="176"/>
      <c r="T177" s="25"/>
      <c r="U177" s="435" t="s">
        <v>20</v>
      </c>
      <c r="V177" s="435"/>
      <c r="W177" s="435"/>
      <c r="X177" s="1"/>
      <c r="Y177" s="215" t="s">
        <v>6</v>
      </c>
      <c r="Z177" s="215"/>
      <c r="AA177" s="215"/>
      <c r="AB177" s="215" t="s">
        <v>23</v>
      </c>
      <c r="AC177" s="215"/>
      <c r="AD177" s="215"/>
      <c r="AE177" s="26" t="s">
        <v>24</v>
      </c>
    </row>
    <row r="178" spans="2:31" ht="16.5" thickBot="1">
      <c r="B178" s="221"/>
      <c r="C178" s="433" t="s">
        <v>119</v>
      </c>
      <c r="D178" s="433"/>
      <c r="E178" s="433"/>
      <c r="F178" s="433"/>
      <c r="G178" s="433"/>
      <c r="H178" s="433"/>
      <c r="I178" s="222"/>
      <c r="J178" s="222"/>
      <c r="K178" s="222"/>
      <c r="L178" s="222"/>
      <c r="M178" s="222"/>
      <c r="N178" s="222"/>
      <c r="O178" s="222"/>
      <c r="T178" s="25"/>
      <c r="U178" s="215"/>
      <c r="V178" s="215"/>
      <c r="W178" s="215"/>
      <c r="X178" s="1"/>
      <c r="Y178" s="215"/>
      <c r="Z178" s="215"/>
      <c r="AA178" s="215"/>
      <c r="AB178" s="215"/>
      <c r="AC178" s="215"/>
      <c r="AD178" s="215"/>
      <c r="AE178" s="26"/>
    </row>
    <row r="179" spans="2:31" ht="15" customHeight="1">
      <c r="B179" s="63"/>
      <c r="C179" s="24"/>
      <c r="D179" s="24"/>
      <c r="E179" s="24"/>
      <c r="F179" s="24"/>
      <c r="G179" s="24"/>
      <c r="H179" s="63"/>
      <c r="I179" s="1"/>
      <c r="J179" s="1"/>
      <c r="K179" s="1"/>
      <c r="L179" s="1"/>
      <c r="M179" s="1"/>
      <c r="N179" s="1"/>
      <c r="O179" s="1"/>
      <c r="T179" s="436" t="s">
        <v>121</v>
      </c>
      <c r="U179" s="435"/>
      <c r="V179" s="435"/>
      <c r="W179" s="435"/>
      <c r="X179" s="1"/>
      <c r="Y179" s="7">
        <f>'Mon Entreprise'!I97</f>
        <v>0</v>
      </c>
      <c r="Z179" s="133"/>
      <c r="AA179" s="21"/>
      <c r="AB179" s="7">
        <f>IF('Mon Entreprise'!I97-'Mon Entreprise'!M97&lt;0,0,'Mon Entreprise'!I97-'Mon Entreprise'!M97)</f>
        <v>0</v>
      </c>
      <c r="AC179" s="13"/>
      <c r="AD179" s="1"/>
      <c r="AE179" s="27">
        <f>IFERROR(1-'Mon Entreprise'!M97/'Mon Entreprise'!I97,0)</f>
        <v>0</v>
      </c>
    </row>
    <row r="180" spans="2:31" ht="15" hidden="1" customHeight="1">
      <c r="B180" s="103"/>
      <c r="C180" s="434" t="s">
        <v>122</v>
      </c>
      <c r="D180" s="434"/>
      <c r="E180" s="434"/>
      <c r="F180" s="434"/>
      <c r="G180" s="434"/>
      <c r="H180" s="434"/>
      <c r="I180" s="434"/>
      <c r="J180" s="434"/>
      <c r="K180" s="434"/>
      <c r="L180" s="434"/>
      <c r="M180" s="434"/>
      <c r="N180" s="434"/>
      <c r="O180" s="434"/>
      <c r="P180" s="1"/>
      <c r="T180" s="436" t="s">
        <v>25</v>
      </c>
      <c r="U180" s="435"/>
      <c r="V180" s="435"/>
      <c r="W180" s="435"/>
      <c r="X180" s="1"/>
      <c r="Y180" s="7">
        <f>'Mon Entreprise'!I73</f>
        <v>0</v>
      </c>
      <c r="Z180" s="133"/>
      <c r="AA180" s="21"/>
      <c r="AB180" s="7">
        <f>IF('Mon Entreprise'!I73-'Mon Entreprise'!M97&lt;0,0,'Mon Entreprise'!I73-'Mon Entreprise'!M97)</f>
        <v>0</v>
      </c>
      <c r="AC180" s="36"/>
      <c r="AD180" s="1"/>
      <c r="AE180" s="27">
        <f>IFERROR(1-'Mon Entreprise'!M97/'Mon Entreprise'!I73,0)</f>
        <v>0</v>
      </c>
    </row>
    <row r="181" spans="2:31" ht="15.75" hidden="1" customHeight="1">
      <c r="B181" s="103"/>
      <c r="C181" s="214"/>
      <c r="D181" s="60" t="s">
        <v>123</v>
      </c>
      <c r="E181" s="214"/>
      <c r="F181" s="214"/>
      <c r="G181" s="214"/>
      <c r="H181" s="214"/>
      <c r="I181" s="214"/>
      <c r="J181" s="214"/>
      <c r="K181" s="214"/>
      <c r="L181" s="214"/>
      <c r="M181" s="214"/>
      <c r="N181" s="214"/>
      <c r="O181" s="214"/>
      <c r="P181" s="1"/>
      <c r="T181" s="446" t="s">
        <v>22</v>
      </c>
      <c r="U181" s="447"/>
      <c r="V181" s="447"/>
      <c r="W181" s="447"/>
      <c r="X181" s="139"/>
      <c r="Y181" s="140" t="str">
        <f>IF('Mon Entreprise'!I125="","NC",'Mon Entreprise'!I125)</f>
        <v>NC</v>
      </c>
      <c r="Z181" s="192"/>
      <c r="AA181" s="193"/>
      <c r="AB181" s="143" t="str">
        <f>IFERROR(IF('Mon Entreprise'!I125-'Mon Entreprise'!M97&lt;0,0,'Mon Entreprise'!I125-'Mon Entreprise'!M97),"NC")</f>
        <v>NC</v>
      </c>
      <c r="AC181" s="194"/>
      <c r="AD181" s="139"/>
      <c r="AE181" s="146" t="str">
        <f>IFERROR(1-'Mon Entreprise'!M97/'Mon Entreprise'!I125,"NC")</f>
        <v>NC</v>
      </c>
    </row>
    <row r="182" spans="2:31" ht="16.5" thickBot="1">
      <c r="B182" s="103"/>
      <c r="C182" s="214"/>
      <c r="D182" s="60"/>
      <c r="E182" s="214"/>
      <c r="F182" s="214"/>
      <c r="G182" s="214"/>
      <c r="H182" s="214"/>
      <c r="I182" s="214"/>
      <c r="J182" s="214"/>
      <c r="K182" s="214"/>
      <c r="L182" s="214"/>
      <c r="M182" s="214"/>
      <c r="N182" s="214"/>
      <c r="O182" s="214"/>
      <c r="P182" s="1"/>
      <c r="T182" s="14"/>
      <c r="U182" s="1"/>
      <c r="V182" s="1"/>
      <c r="W182" s="1"/>
      <c r="X182" s="1"/>
      <c r="Y182" s="1"/>
      <c r="Z182" s="1"/>
      <c r="AA182" s="1"/>
      <c r="AB182" s="1"/>
      <c r="AC182" s="1"/>
      <c r="AD182" s="1"/>
      <c r="AE182" s="13"/>
    </row>
    <row r="183" spans="2:31" ht="15.75">
      <c r="B183" s="103"/>
      <c r="C183" s="214"/>
      <c r="D183" s="437" t="str">
        <f>IFERROR(IF(AND(AB214=0,AB215=0,AB216=0),"Vous ne pouvez pas bénéficier du fonds de solidarité pour le mois de Janvier 2021",IF(AND(AB216&gt;AB215,AB216&gt;AB214),"Votre entreprise peut bénéficier d'une aide de "&amp;AB216&amp;" €, au titre d'une fermeture Administrative, ou d'une perte d'au moins 50 % ou 70 % du CA pour les activités mentionnées en annexe 1, ou d'une perte d'au moins 70 % du CA pour les activités mentionnées en annexe 2 ou 3",IF(AB215&gt;AB214,"Votre entreprise peut bénéficier d'une aide de "&amp;AB215&amp;"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"&amp;AB214&amp;" €, au titre d'une perte d'au-moins 50 % de votre CA en Janvier 2021"))),"Vous n'avez pas indiqué de chiffre d'affaires de référence")</f>
        <v>Vous ne pouvez pas bénéficier du fonds de solidarité pour le mois de Janvier 2021</v>
      </c>
      <c r="E183" s="438"/>
      <c r="F183" s="438"/>
      <c r="G183" s="438"/>
      <c r="H183" s="438"/>
      <c r="I183" s="438"/>
      <c r="J183" s="438"/>
      <c r="K183" s="438"/>
      <c r="L183" s="438"/>
      <c r="M183" s="438"/>
      <c r="N183" s="438"/>
      <c r="O183" s="439"/>
      <c r="P183" s="1"/>
      <c r="T183" s="14"/>
      <c r="AC183" s="1"/>
      <c r="AD183" s="1"/>
      <c r="AE183" s="13"/>
    </row>
    <row r="184" spans="2:31" ht="15.75" customHeight="1">
      <c r="B184" s="103"/>
      <c r="C184" s="214"/>
      <c r="D184" s="440"/>
      <c r="E184" s="441"/>
      <c r="F184" s="441"/>
      <c r="G184" s="441"/>
      <c r="H184" s="441"/>
      <c r="I184" s="441"/>
      <c r="J184" s="441"/>
      <c r="K184" s="441"/>
      <c r="L184" s="441"/>
      <c r="M184" s="441"/>
      <c r="N184" s="441"/>
      <c r="O184" s="442"/>
      <c r="P184" s="1"/>
      <c r="T184" s="14"/>
      <c r="AC184" s="1"/>
      <c r="AD184" s="1"/>
      <c r="AE184" s="13"/>
    </row>
    <row r="185" spans="2:31" ht="15.75" customHeight="1">
      <c r="B185" s="103"/>
      <c r="C185" s="214"/>
      <c r="D185" s="440"/>
      <c r="E185" s="441"/>
      <c r="F185" s="441"/>
      <c r="G185" s="441"/>
      <c r="H185" s="441"/>
      <c r="I185" s="441"/>
      <c r="J185" s="441"/>
      <c r="K185" s="441"/>
      <c r="L185" s="441"/>
      <c r="M185" s="441"/>
      <c r="N185" s="441"/>
      <c r="O185" s="442"/>
      <c r="P185" s="1"/>
      <c r="T185" s="14"/>
      <c r="AC185" s="1"/>
      <c r="AD185" s="1"/>
      <c r="AE185" s="13"/>
    </row>
    <row r="186" spans="2:31" ht="15.75" customHeight="1">
      <c r="B186" s="103"/>
      <c r="C186" s="214"/>
      <c r="D186" s="440"/>
      <c r="E186" s="441"/>
      <c r="F186" s="441"/>
      <c r="G186" s="441"/>
      <c r="H186" s="441"/>
      <c r="I186" s="441"/>
      <c r="J186" s="441"/>
      <c r="K186" s="441"/>
      <c r="L186" s="441"/>
      <c r="M186" s="441"/>
      <c r="N186" s="441"/>
      <c r="O186" s="442"/>
      <c r="P186" s="1"/>
      <c r="T186" s="14"/>
      <c r="U186" s="1"/>
      <c r="V186" s="1"/>
      <c r="W186" s="1"/>
      <c r="X186" s="1"/>
      <c r="Y186" s="1"/>
      <c r="Z186" s="1"/>
      <c r="AA186" s="1"/>
      <c r="AB186" s="1"/>
      <c r="AC186" s="1"/>
      <c r="AD186" s="1"/>
      <c r="AE186" s="13"/>
    </row>
    <row r="187" spans="2:31" ht="15.75" customHeight="1" thickBot="1">
      <c r="B187" s="103"/>
      <c r="C187" s="214"/>
      <c r="D187" s="443"/>
      <c r="E187" s="444"/>
      <c r="F187" s="444"/>
      <c r="G187" s="444"/>
      <c r="H187" s="444"/>
      <c r="I187" s="444"/>
      <c r="J187" s="444"/>
      <c r="K187" s="444"/>
      <c r="L187" s="444"/>
      <c r="M187" s="444"/>
      <c r="N187" s="444"/>
      <c r="O187" s="445"/>
      <c r="P187" s="1"/>
      <c r="T187" s="14"/>
      <c r="U187" s="448" t="s">
        <v>72</v>
      </c>
      <c r="V187" s="448"/>
      <c r="W187" s="448"/>
      <c r="X187" s="448"/>
      <c r="Y187" s="448"/>
      <c r="Z187" s="1"/>
      <c r="AA187" s="14"/>
      <c r="AB187" s="211" t="str">
        <f>IF('Mon Entreprise'!K8&lt;=Annexes!Q26,"Oui","Non")</f>
        <v>Oui</v>
      </c>
      <c r="AC187" s="1"/>
      <c r="AD187" s="1"/>
      <c r="AE187" s="13"/>
    </row>
    <row r="188" spans="2:31" ht="16.5" customHeight="1">
      <c r="B188" s="103"/>
      <c r="C188" s="214"/>
      <c r="D188" s="60"/>
      <c r="E188" s="214"/>
      <c r="F188" s="214"/>
      <c r="G188" s="214"/>
      <c r="H188" s="214"/>
      <c r="I188" s="214"/>
      <c r="J188" s="214"/>
      <c r="K188" s="214"/>
      <c r="L188" s="214"/>
      <c r="M188" s="214"/>
      <c r="N188" s="214"/>
      <c r="O188" s="214"/>
      <c r="P188" s="1"/>
      <c r="T188" s="14"/>
      <c r="U188" s="296"/>
      <c r="V188" s="448" t="s">
        <v>393</v>
      </c>
      <c r="W188" s="448"/>
      <c r="X188" s="448"/>
      <c r="Y188" s="448"/>
      <c r="Z188" s="1"/>
      <c r="AA188" s="14"/>
      <c r="AB188" s="295">
        <f>IF('Mon Entreprise'!K8&gt;=Annexes!O20,IF(Y179&gt;=Y181,Y179,Y181),IF(Y179&gt;=Y180,Y179,Y180))</f>
        <v>0</v>
      </c>
      <c r="AC188" s="1"/>
      <c r="AD188" s="1"/>
      <c r="AE188" s="13"/>
    </row>
    <row r="189" spans="2:31" ht="15.75" hidden="1">
      <c r="B189" s="103"/>
      <c r="C189" s="78"/>
      <c r="D189" s="78"/>
      <c r="E189" s="78"/>
      <c r="F189" s="78"/>
      <c r="G189" s="78"/>
      <c r="H189" s="78"/>
      <c r="I189" s="78"/>
      <c r="J189" s="78"/>
      <c r="K189" s="78"/>
      <c r="L189" s="78"/>
      <c r="M189" s="78"/>
      <c r="N189" s="78"/>
      <c r="O189" s="78"/>
      <c r="P189" s="1"/>
      <c r="T189" s="14"/>
      <c r="U189" s="448" t="s">
        <v>84</v>
      </c>
      <c r="V189" s="448"/>
      <c r="W189" s="448"/>
      <c r="X189" s="448"/>
      <c r="Y189" s="448"/>
      <c r="Z189" s="1"/>
      <c r="AA189" s="14"/>
      <c r="AB189" s="212">
        <f>IF('Mon Entreprise'!K8&gt;=Annexes!O20,IF(AB179&gt;=AB181,AB179,AB181),IF(AB179&gt;=AB180,AB179,AB180))</f>
        <v>0</v>
      </c>
      <c r="AC189" s="1"/>
      <c r="AD189" s="1"/>
      <c r="AE189" s="13"/>
    </row>
    <row r="190" spans="2:31" ht="15.75" hidden="1">
      <c r="B190" s="103"/>
      <c r="C190" s="214"/>
      <c r="D190" s="60"/>
      <c r="E190" s="214"/>
      <c r="F190" s="214"/>
      <c r="G190" s="214"/>
      <c r="H190" s="214"/>
      <c r="I190" s="214"/>
      <c r="J190" s="214"/>
      <c r="K190" s="214"/>
      <c r="L190" s="214"/>
      <c r="M190" s="214"/>
      <c r="N190" s="214"/>
      <c r="O190" s="214"/>
      <c r="P190" s="1"/>
      <c r="T190" s="14"/>
      <c r="U190" s="448" t="s">
        <v>85</v>
      </c>
      <c r="V190" s="448"/>
      <c r="W190" s="448"/>
      <c r="X190" s="448"/>
      <c r="Y190" s="448"/>
      <c r="Z190" s="1"/>
      <c r="AA190" s="14"/>
      <c r="AB190" s="19">
        <f>IF('Mon Entreprise'!K8&gt;=Annexes!O20,IF(AB179&gt;=AB181,AE179,AE181),IF(AB179&gt;=AB180,AE179,AE180))</f>
        <v>0</v>
      </c>
      <c r="AC190" s="1"/>
      <c r="AD190" s="1"/>
      <c r="AE190" s="13"/>
    </row>
    <row r="191" spans="2:31" ht="15.75" hidden="1">
      <c r="B191" s="103"/>
      <c r="C191" s="214" t="s">
        <v>120</v>
      </c>
      <c r="D191" s="60"/>
      <c r="E191" s="214"/>
      <c r="F191" s="214"/>
      <c r="G191" s="214"/>
      <c r="H191" s="214"/>
      <c r="I191" s="214"/>
      <c r="J191" s="214"/>
      <c r="K191" s="214"/>
      <c r="L191" s="214"/>
      <c r="M191" s="214"/>
      <c r="N191" s="214"/>
      <c r="O191" s="214"/>
      <c r="P191" s="1"/>
      <c r="T191" s="14"/>
      <c r="U191" s="1"/>
      <c r="V191" s="1"/>
      <c r="W191" s="1"/>
      <c r="X191" s="1"/>
      <c r="Y191" s="1"/>
      <c r="Z191" s="1"/>
      <c r="AA191" s="1"/>
      <c r="AB191" s="1"/>
      <c r="AC191" s="1"/>
      <c r="AD191" s="1"/>
      <c r="AE191" s="13"/>
    </row>
    <row r="192" spans="2:31" ht="15.75" hidden="1">
      <c r="B192" s="169"/>
      <c r="C192" s="214"/>
      <c r="D192" s="60" t="str">
        <f>IFERROR(IF('Mon Entreprise'!K8&gt;=Annexes!O20,IF(AB179&gt;=AB181,"Le CA de référence est celui de Janvier 2019, soit une perte de "&amp;ROUND(AB179,0)&amp;" €"&amp;" ==&gt; "&amp;ROUND(AE179*100,0)&amp;" %","Le CA de référence est celui de la création, soit une perte de "&amp;ROUND(AB181,0)&amp;" €"&amp;" ==&gt; "&amp;ROUND(AE181*100,0)&amp;" %"),IF(AB179&gt;=AB180,"Le CA de référence est celui de Janvier 2019, soit une perte de "&amp;ROUND(AB179,0)&amp;" €"&amp;" ==&gt; "&amp;ROUND(AE179*100,0)&amp;" %","Le CA de référence est celui de de l'exercice 2019, soit une perte de "&amp;ROUND(AB180,0)&amp;" €"&amp;" ==&gt; "&amp;ROUND(AE180*100,0)&amp;" %")),"")</f>
        <v>Le CA de référence est celui de Janvier 2019, soit une perte de 0 € ==&gt; 0 %</v>
      </c>
      <c r="E192" s="214"/>
      <c r="F192" s="214"/>
      <c r="G192" s="214"/>
      <c r="H192" s="214"/>
      <c r="I192" s="214"/>
      <c r="J192" s="214"/>
      <c r="K192" s="214"/>
      <c r="L192" s="214"/>
      <c r="M192" s="214"/>
      <c r="N192" s="214"/>
      <c r="O192" s="214"/>
      <c r="P192" s="1"/>
      <c r="T192" s="14"/>
      <c r="U192" s="1"/>
      <c r="V192" s="1"/>
      <c r="W192" s="1"/>
      <c r="X192" s="1"/>
      <c r="Y192" s="1"/>
      <c r="Z192" s="1"/>
      <c r="AA192" s="1"/>
      <c r="AB192" s="1"/>
      <c r="AC192" s="1"/>
      <c r="AD192" s="1"/>
      <c r="AE192" s="13"/>
    </row>
    <row r="193" spans="1:31" ht="16.5" hidden="1" thickBot="1">
      <c r="B193" s="103"/>
      <c r="C193" s="214"/>
      <c r="D193" s="60"/>
      <c r="E193" s="214"/>
      <c r="F193" s="214"/>
      <c r="G193" s="214"/>
      <c r="H193" s="214"/>
      <c r="I193" s="214"/>
      <c r="J193" s="214"/>
      <c r="K193" s="214"/>
      <c r="L193" s="214"/>
      <c r="M193" s="214"/>
      <c r="N193" s="214"/>
      <c r="O193" s="214"/>
      <c r="P193" s="1"/>
      <c r="T193" s="14"/>
      <c r="U193" s="1"/>
      <c r="V193" s="1"/>
      <c r="W193" s="1"/>
      <c r="X193" s="1"/>
      <c r="Y193" s="1"/>
      <c r="Z193" s="1"/>
      <c r="AA193" s="1"/>
      <c r="AB193" s="1"/>
      <c r="AC193" s="1"/>
      <c r="AD193" s="1"/>
      <c r="AE193" s="13"/>
    </row>
    <row r="194" spans="1:31" ht="15.75" hidden="1">
      <c r="B194" s="169"/>
      <c r="C194" s="214"/>
      <c r="D194" s="450" t="str">
        <f>IFERROR(IF(AB187="Non","Vous avez débuté votre activité après le 31 Octobre 2020, vous ne pouvez donc pas bénéficier de cette aide",IF(AB190&gt;=0.5,IF(AB189&gt;Annexes!O5,"Dans votre cas, l'aide est Plafonnée, à "&amp;Annexes!O5&amp;" € pour le mois de Janvier","Vous pouvez bénéficier, au titre de cette aide, d'un montant de "&amp;ROUND(AB189,0)&amp;" € pour le mois de Janvier"),"L'entreprise n'a pas une perte d'au moins 50 % en Janvier 2021")),"Vous n'avez pas indiqué de chiffre d'affaires de référence")</f>
        <v>L'entreprise n'a pas une perte d'au moins 50 % en Janvier 2021</v>
      </c>
      <c r="E194" s="451"/>
      <c r="F194" s="451"/>
      <c r="G194" s="451"/>
      <c r="H194" s="451"/>
      <c r="I194" s="451"/>
      <c r="J194" s="451"/>
      <c r="K194" s="451"/>
      <c r="L194" s="451"/>
      <c r="M194" s="451"/>
      <c r="N194" s="451"/>
      <c r="O194" s="452"/>
      <c r="P194" s="1"/>
      <c r="T194" s="14"/>
      <c r="U194" s="1"/>
      <c r="V194" s="1"/>
      <c r="W194" s="1"/>
      <c r="X194" s="1"/>
      <c r="Y194" s="1"/>
      <c r="Z194" s="1"/>
      <c r="AA194" s="1"/>
      <c r="AB194" s="1"/>
      <c r="AC194" s="1"/>
      <c r="AD194" s="1"/>
      <c r="AE194" s="13"/>
    </row>
    <row r="195" spans="1:31" ht="15.75" hidden="1" customHeight="1">
      <c r="B195" s="169"/>
      <c r="C195" s="214"/>
      <c r="D195" s="453"/>
      <c r="E195" s="454"/>
      <c r="F195" s="454"/>
      <c r="G195" s="454"/>
      <c r="H195" s="454"/>
      <c r="I195" s="454"/>
      <c r="J195" s="454"/>
      <c r="K195" s="454"/>
      <c r="L195" s="454"/>
      <c r="M195" s="454"/>
      <c r="N195" s="454"/>
      <c r="O195" s="455"/>
      <c r="P195" s="1"/>
      <c r="T195" s="14"/>
      <c r="U195" s="1"/>
      <c r="V195" s="1"/>
      <c r="W195" s="1"/>
      <c r="X195" s="1"/>
      <c r="Y195" s="1"/>
      <c r="Z195" s="1"/>
      <c r="AA195" s="1"/>
      <c r="AB195" s="1"/>
      <c r="AC195" s="1"/>
      <c r="AD195" s="1"/>
      <c r="AE195" s="13"/>
    </row>
    <row r="196" spans="1:31" ht="15.75" hidden="1" customHeight="1">
      <c r="B196" s="103"/>
      <c r="C196" s="214"/>
      <c r="D196" s="453"/>
      <c r="E196" s="454"/>
      <c r="F196" s="454"/>
      <c r="G196" s="454"/>
      <c r="H196" s="454"/>
      <c r="I196" s="454"/>
      <c r="J196" s="454"/>
      <c r="K196" s="454"/>
      <c r="L196" s="454"/>
      <c r="M196" s="454"/>
      <c r="N196" s="454"/>
      <c r="O196" s="455"/>
      <c r="P196" s="1"/>
      <c r="T196" s="460" t="s">
        <v>4</v>
      </c>
      <c r="U196" s="461"/>
      <c r="V196" s="461"/>
      <c r="W196" s="461"/>
      <c r="X196" s="461"/>
      <c r="Y196" s="461"/>
      <c r="Z196" s="139"/>
      <c r="AA196" s="145"/>
      <c r="AB196" s="195">
        <f>IFERROR(IF('Mon Entreprise'!K8&gt;=Annexes!Q18,0,1-'Mon Entreprise'!M93/2/AB188),0)</f>
        <v>0</v>
      </c>
      <c r="AC196" s="1"/>
      <c r="AD196" s="1"/>
      <c r="AE196" s="13"/>
    </row>
    <row r="197" spans="1:31" ht="15.75" hidden="1" customHeight="1" thickBot="1">
      <c r="B197" s="103"/>
      <c r="C197" s="214"/>
      <c r="D197" s="456"/>
      <c r="E197" s="457"/>
      <c r="F197" s="457"/>
      <c r="G197" s="457"/>
      <c r="H197" s="457"/>
      <c r="I197" s="457"/>
      <c r="J197" s="457"/>
      <c r="K197" s="457"/>
      <c r="L197" s="457"/>
      <c r="M197" s="457"/>
      <c r="N197" s="457"/>
      <c r="O197" s="458"/>
      <c r="P197" s="1"/>
      <c r="T197" s="110"/>
      <c r="U197" s="462" t="s">
        <v>102</v>
      </c>
      <c r="V197" s="462"/>
      <c r="W197" s="462"/>
      <c r="X197" s="462"/>
      <c r="Y197" s="462"/>
      <c r="Z197" s="139"/>
      <c r="AA197" s="145"/>
      <c r="AB197" s="195">
        <f>IFERROR(IF('Mon Entreprise'!K8&gt;Annexes!Q26,0,1-'Mon Entreprise'!M89/AB188),0)</f>
        <v>0</v>
      </c>
      <c r="AC197" s="1"/>
      <c r="AD197" s="1"/>
      <c r="AE197" s="13"/>
    </row>
    <row r="198" spans="1:31" ht="16.5" hidden="1" customHeight="1">
      <c r="B198" s="103"/>
      <c r="C198" s="170"/>
      <c r="D198" s="171"/>
      <c r="E198" s="171"/>
      <c r="F198" s="171"/>
      <c r="G198" s="171"/>
      <c r="H198" s="171"/>
      <c r="I198" s="171"/>
      <c r="J198" s="171"/>
      <c r="K198" s="171"/>
      <c r="L198" s="171"/>
      <c r="M198" s="171"/>
      <c r="N198" s="171"/>
      <c r="O198" s="171"/>
      <c r="P198" s="1"/>
      <c r="T198" s="110"/>
      <c r="U198" s="462" t="s">
        <v>109</v>
      </c>
      <c r="V198" s="462"/>
      <c r="W198" s="462"/>
      <c r="X198" s="462"/>
      <c r="Y198" s="462"/>
      <c r="Z198" s="139"/>
      <c r="AA198" s="145"/>
      <c r="AB198" s="195">
        <f>IFERROR(IF(Annexes!O27&gt;'Mon Entreprise'!K8,1-'Mon Entreprise'!M73/'Mon Entreprise'!I73,0),0)</f>
        <v>0</v>
      </c>
      <c r="AC198" s="1"/>
      <c r="AD198" s="1"/>
      <c r="AE198" s="13"/>
    </row>
    <row r="199" spans="1:31" ht="16.5" hidden="1" customHeight="1">
      <c r="B199" s="103"/>
      <c r="C199" s="214"/>
      <c r="D199" s="213"/>
      <c r="E199" s="213"/>
      <c r="F199" s="213"/>
      <c r="G199" s="213"/>
      <c r="H199" s="213"/>
      <c r="I199" s="213"/>
      <c r="J199" s="213"/>
      <c r="K199" s="213"/>
      <c r="L199" s="213"/>
      <c r="M199" s="213"/>
      <c r="N199" s="213"/>
      <c r="O199" s="213"/>
      <c r="P199" s="1"/>
      <c r="T199" s="14"/>
      <c r="U199" s="464" t="s">
        <v>8</v>
      </c>
      <c r="V199" s="464"/>
      <c r="W199" s="464"/>
      <c r="X199" s="464"/>
      <c r="Y199" s="464"/>
      <c r="Z199" s="1"/>
      <c r="AA199" s="14"/>
      <c r="AB199" s="212" t="str">
        <f>IF((AND(Annexes!F5&gt;1,Annexes!F5&lt;=Annexes!H6)),"OUI","NON")</f>
        <v>NON</v>
      </c>
      <c r="AC199" s="1"/>
      <c r="AD199" s="1"/>
      <c r="AE199" s="13"/>
    </row>
    <row r="200" spans="1:31" ht="16.5" hidden="1" customHeight="1">
      <c r="B200" s="103"/>
      <c r="C200" s="463" t="s">
        <v>112</v>
      </c>
      <c r="D200" s="463"/>
      <c r="E200" s="463"/>
      <c r="F200" s="463"/>
      <c r="G200" s="463"/>
      <c r="H200" s="463"/>
      <c r="I200" s="463"/>
      <c r="J200" s="463"/>
      <c r="K200" s="463"/>
      <c r="L200" s="463"/>
      <c r="M200" s="463"/>
      <c r="N200" s="463"/>
      <c r="O200" s="463"/>
      <c r="P200" s="1"/>
      <c r="T200" s="14"/>
      <c r="U200" s="247"/>
      <c r="V200" s="247"/>
      <c r="W200" s="247"/>
      <c r="X200" s="247"/>
      <c r="Y200" s="247" t="s">
        <v>9</v>
      </c>
      <c r="Z200" s="1"/>
      <c r="AA200" s="14"/>
      <c r="AB200" s="246" t="str">
        <f>IF(AND(Annexes!F7&gt;1,Annexes!F7&lt;=Annexes!H8),"OUI","NON")</f>
        <v>NON</v>
      </c>
      <c r="AC200" s="1"/>
      <c r="AD200" s="1"/>
      <c r="AE200" s="13"/>
    </row>
    <row r="201" spans="1:31" ht="16.5" hidden="1" customHeight="1">
      <c r="B201" s="103"/>
      <c r="C201" s="463"/>
      <c r="D201" s="463"/>
      <c r="E201" s="463"/>
      <c r="F201" s="463"/>
      <c r="G201" s="463"/>
      <c r="H201" s="463"/>
      <c r="I201" s="463"/>
      <c r="J201" s="463"/>
      <c r="K201" s="463"/>
      <c r="L201" s="463"/>
      <c r="M201" s="463"/>
      <c r="N201" s="463"/>
      <c r="O201" s="463"/>
      <c r="P201" s="1"/>
      <c r="T201" s="436" t="s">
        <v>305</v>
      </c>
      <c r="U201" s="435"/>
      <c r="V201" s="435"/>
      <c r="W201" s="435"/>
      <c r="X201" s="435"/>
      <c r="Y201" s="435"/>
      <c r="Z201" s="1"/>
      <c r="AA201" s="14"/>
      <c r="AB201" s="212" t="str">
        <f>IF(Annexes!M17=TRUE,"OUI","NON")</f>
        <v>NON</v>
      </c>
      <c r="AC201" s="1"/>
      <c r="AD201" s="1"/>
      <c r="AE201" s="13"/>
    </row>
    <row r="202" spans="1:31" ht="16.5" hidden="1" customHeight="1">
      <c r="B202" s="103"/>
      <c r="C202" s="463"/>
      <c r="D202" s="463"/>
      <c r="E202" s="463"/>
      <c r="F202" s="463"/>
      <c r="G202" s="463"/>
      <c r="H202" s="463"/>
      <c r="I202" s="463"/>
      <c r="J202" s="463"/>
      <c r="K202" s="463"/>
      <c r="L202" s="463"/>
      <c r="M202" s="463"/>
      <c r="N202" s="463"/>
      <c r="O202" s="463"/>
      <c r="P202" s="1"/>
      <c r="T202" s="14"/>
      <c r="U202" s="435" t="s">
        <v>12</v>
      </c>
      <c r="V202" s="435"/>
      <c r="W202" s="435"/>
      <c r="X202" s="435"/>
      <c r="Y202" s="435"/>
      <c r="Z202" s="1"/>
      <c r="AA202" s="14"/>
      <c r="AB202" s="212" t="b">
        <f>Annexes!M19</f>
        <v>0</v>
      </c>
      <c r="AC202" s="1"/>
      <c r="AD202" s="1"/>
      <c r="AE202" s="13"/>
    </row>
    <row r="203" spans="1:31" ht="16.5" hidden="1" customHeight="1">
      <c r="B203" s="103"/>
      <c r="C203" s="214"/>
      <c r="D203" s="213"/>
      <c r="E203" s="359" t="str">
        <f>IF('Mon Entreprise'!K8&gt;Annexes!Q24,"",IF(OR(AB199="OUI",AND(OR(AB201="OUI",AB200="OUI"),OR(AB196&gt;=Annexes!P5,AB197&gt;=Annexes!P5,'Mes Aides'!AB145&gt;=0.1)),AB202=TRUE),"",IF(AND(OR(AB201="OUI",AB200="OUI"),OR(AB196&lt;Annexes!P5,AB197&lt;Annexes!P5,'Mes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3" s="359"/>
      <c r="G203" s="359"/>
      <c r="H203" s="359"/>
      <c r="I203" s="359"/>
      <c r="J203" s="359"/>
      <c r="K203" s="359"/>
      <c r="L203" s="359"/>
      <c r="M203" s="359"/>
      <c r="N203" s="359"/>
      <c r="O203" s="359"/>
      <c r="P203" s="1"/>
      <c r="T203" s="14"/>
      <c r="U203" s="467" t="s">
        <v>72</v>
      </c>
      <c r="V203" s="467"/>
      <c r="W203" s="467"/>
      <c r="X203" s="467"/>
      <c r="Y203" s="467"/>
      <c r="Z203" s="139"/>
      <c r="AA203" s="145"/>
      <c r="AB203" s="211" t="str">
        <f>IF('Mon Entreprise'!K8&lt;=Annexes!Q26,"Oui","Non")</f>
        <v>Oui</v>
      </c>
      <c r="AC203" s="139"/>
      <c r="AD203" s="1"/>
      <c r="AE203" s="13"/>
    </row>
    <row r="204" spans="1:31" ht="16.5" hidden="1" customHeight="1">
      <c r="B204" s="169"/>
      <c r="C204" s="214"/>
      <c r="D204" s="213"/>
      <c r="E204" s="359"/>
      <c r="F204" s="359"/>
      <c r="G204" s="359"/>
      <c r="H204" s="359"/>
      <c r="I204" s="359"/>
      <c r="J204" s="359"/>
      <c r="K204" s="359"/>
      <c r="L204" s="359"/>
      <c r="M204" s="359"/>
      <c r="N204" s="359"/>
      <c r="O204" s="359"/>
      <c r="P204" s="1"/>
      <c r="T204" s="14"/>
      <c r="U204" s="467" t="s">
        <v>84</v>
      </c>
      <c r="V204" s="467"/>
      <c r="W204" s="467"/>
      <c r="X204" s="467"/>
      <c r="Y204" s="467"/>
      <c r="Z204" s="139"/>
      <c r="AA204" s="145"/>
      <c r="AB204" s="211">
        <f>IF('Mon Entreprise'!K8&gt;=Annexes!O20,IF(AB179&gt;=AB181,AB179,AB181),IF(AB179&gt;=AB180,AB179,AB180))</f>
        <v>0</v>
      </c>
      <c r="AC204" s="139"/>
      <c r="AD204" s="1"/>
      <c r="AE204" s="13"/>
    </row>
    <row r="205" spans="1:31" ht="16.5" hidden="1" customHeight="1">
      <c r="A205" s="99"/>
      <c r="B205" s="103"/>
      <c r="C205" s="214"/>
      <c r="D205" s="465"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05" s="465"/>
      <c r="F205" s="465"/>
      <c r="G205" s="465"/>
      <c r="H205" s="465"/>
      <c r="I205" s="465"/>
      <c r="J205" s="465"/>
      <c r="K205" s="465"/>
      <c r="L205" s="465"/>
      <c r="M205" s="465"/>
      <c r="N205" s="465"/>
      <c r="O205" s="465"/>
      <c r="P205" s="1"/>
      <c r="T205" s="14"/>
      <c r="U205" s="467" t="s">
        <v>85</v>
      </c>
      <c r="V205" s="467"/>
      <c r="W205" s="467"/>
      <c r="X205" s="467"/>
      <c r="Y205" s="467"/>
      <c r="Z205" s="139"/>
      <c r="AA205" s="145"/>
      <c r="AB205" s="211">
        <f>IF('Mon Entreprise'!K8&gt;=Annexes!O20,IF(AB179&gt;=AB181,AE179,AE181),IF(AB179&gt;=AB180,AE179,AE180))</f>
        <v>0</v>
      </c>
      <c r="AC205" s="139"/>
      <c r="AD205" s="1"/>
      <c r="AE205" s="13"/>
    </row>
    <row r="206" spans="1:31" ht="16.5" hidden="1" customHeight="1">
      <c r="B206" s="103"/>
      <c r="C206" s="214"/>
      <c r="D206" s="216" t="str">
        <f>IF(OR(AB199="OUI",AB202=TRUE),"- Sans ticket modérateur",IF(AND(OR(AB201="OUI",AB200="OUI"),OR(AB196&gt;=0.8,AB197&gt;=0.8,AB198&gt;=0.1)),"- La Perte de référence est plafonnée à 80 %, soit "&amp;ROUND(AB208,0)&amp;" €","- Sans ticket modérateur"))</f>
        <v>- Sans ticket modérateur</v>
      </c>
      <c r="E206" s="207"/>
      <c r="F206" s="207"/>
      <c r="G206" s="207"/>
      <c r="H206" s="207"/>
      <c r="I206" s="207"/>
      <c r="J206" s="207"/>
      <c r="K206" s="207"/>
      <c r="L206" s="207"/>
      <c r="M206" s="207"/>
      <c r="N206" s="207"/>
      <c r="O206" s="207"/>
      <c r="P206" s="1"/>
      <c r="T206" s="14"/>
      <c r="U206" s="447" t="s">
        <v>74</v>
      </c>
      <c r="V206" s="447"/>
      <c r="W206" s="447"/>
      <c r="X206" s="447"/>
      <c r="Y206" s="447"/>
      <c r="Z206" s="139"/>
      <c r="AA206" s="145"/>
      <c r="AB206" s="211">
        <f>IF(OR(AB199="OUI",AB202=TRUE),1,IF(AND(OR(AB201="OUI",AB200="OUI"),OR(AB196&gt;=0.8,AB197&gt;=0.8,AB198&gt;=0.1)),0.8,1))</f>
        <v>1</v>
      </c>
      <c r="AC206" s="139"/>
      <c r="AD206" s="1"/>
      <c r="AE206" s="13"/>
    </row>
    <row r="207" spans="1:31" ht="16.5" hidden="1" customHeight="1" thickBot="1">
      <c r="B207" s="103"/>
      <c r="C207" s="214"/>
      <c r="D207" s="207"/>
      <c r="E207" s="207"/>
      <c r="F207" s="207"/>
      <c r="G207" s="207"/>
      <c r="H207" s="207"/>
      <c r="I207" s="207"/>
      <c r="J207" s="207"/>
      <c r="K207" s="207"/>
      <c r="L207" s="207"/>
      <c r="M207" s="207"/>
      <c r="N207" s="207"/>
      <c r="O207" s="207"/>
      <c r="P207" s="1"/>
      <c r="T207" s="14"/>
      <c r="U207" s="447" t="s">
        <v>80</v>
      </c>
      <c r="V207" s="447"/>
      <c r="W207" s="447"/>
      <c r="X207" s="447"/>
      <c r="Y207" s="447"/>
      <c r="Z207" s="139"/>
      <c r="AA207" s="145"/>
      <c r="AB207" s="211">
        <f>IF('Mon Entreprise'!K8&gt;=Annexes!O20,IF(AB179&gt;=AB181,Y179,Y181),IF(AB179&gt;=AB180,Y179,Y180))</f>
        <v>0</v>
      </c>
      <c r="AC207" s="139"/>
      <c r="AD207" s="1"/>
      <c r="AE207" s="13"/>
    </row>
    <row r="208" spans="1:31" ht="16.5" hidden="1" customHeight="1">
      <c r="B208" s="103"/>
      <c r="C208" s="214"/>
      <c r="D208" s="450" t="str">
        <f>IFERROR(IF('Mon Entreprise'!K8&gt;Annexes!Q26,"Vous avez débuté votre activité après le 31 Octobre 2020, vous ne pouvez donc pas bénéficier de cette aide",IF(AB202=TRUE,IF(AB208&gt;Annexes!O6,"Dans votre cas, l'aide est Plafonnée, à "&amp;Annexes!O6&amp;" € pour le mois de Janvier","Vous pouvez bénéficier, au titre de cette aide, d'un montant de "&amp;ROUND(AB208,0)&amp;" € pour le mois de Janvier"),IF(AB205&gt;=0.5,IF(OR(AB199="OUI",AND(OR(AB201="OUI",AB200="OUI"),OR(AB196&gt;=Annexes!P5,AB197&gt;=Annexes!P5,AB198&gt;=0.1))),IF(AB208&gt;Annexes!O6,"Dans votre cas, l'aide est Plafonnée, à "&amp;Annexes!O6&amp;" € pour le mois de Janvier","Vous pouvez bénéficier, au titre de cette aide, d'un montant de "&amp;ROUND(AB208,0)&amp;" € pour le mois de Janvier"),IF(AND(OR(AB201="OUI",AB200="OUI"),OR(AB196&lt;Annexes!P5,AB197&lt;Annexes!P5)),"L'entreprise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08" s="451"/>
      <c r="F208" s="451"/>
      <c r="G208" s="451"/>
      <c r="H208" s="451"/>
      <c r="I208" s="451"/>
      <c r="J208" s="451"/>
      <c r="K208" s="451"/>
      <c r="L208" s="451"/>
      <c r="M208" s="451"/>
      <c r="N208" s="451"/>
      <c r="O208" s="452"/>
      <c r="P208" s="1"/>
      <c r="T208" s="14"/>
      <c r="U208" s="435" t="s">
        <v>104</v>
      </c>
      <c r="V208" s="435"/>
      <c r="W208" s="435"/>
      <c r="X208" s="435"/>
      <c r="Y208" s="435"/>
      <c r="Z208" s="1"/>
      <c r="AA208" s="14"/>
      <c r="AB208" s="212">
        <f>IF(AB206=1,AB204,IF(AB204*AB206&gt;1500,IF(AB204&gt;1500,AB204*AB206,"Impossible"),IF(AB204&lt;1500,AB204,1500)))</f>
        <v>0</v>
      </c>
      <c r="AC208" s="1"/>
      <c r="AD208" s="1"/>
      <c r="AE208" s="13"/>
    </row>
    <row r="209" spans="2:31" ht="16.5" hidden="1" customHeight="1">
      <c r="B209" s="174"/>
      <c r="C209" s="214"/>
      <c r="D209" s="453"/>
      <c r="E209" s="454"/>
      <c r="F209" s="454"/>
      <c r="G209" s="454"/>
      <c r="H209" s="454"/>
      <c r="I209" s="454"/>
      <c r="J209" s="454"/>
      <c r="K209" s="454"/>
      <c r="L209" s="454"/>
      <c r="M209" s="454"/>
      <c r="N209" s="454"/>
      <c r="O209" s="455"/>
      <c r="P209" s="1"/>
      <c r="T209" s="14"/>
      <c r="U209" s="212"/>
      <c r="V209" s="212"/>
      <c r="W209" s="212"/>
      <c r="X209" s="212"/>
      <c r="Y209" s="212"/>
      <c r="Z209" s="1"/>
      <c r="AA209" s="1"/>
      <c r="AB209" s="1"/>
      <c r="AC209" s="1"/>
      <c r="AD209" s="1"/>
      <c r="AE209" s="13"/>
    </row>
    <row r="210" spans="2:31" ht="16.5" hidden="1" customHeight="1">
      <c r="B210" s="103"/>
      <c r="C210" s="214"/>
      <c r="D210" s="453"/>
      <c r="E210" s="454"/>
      <c r="F210" s="454"/>
      <c r="G210" s="454"/>
      <c r="H210" s="454"/>
      <c r="I210" s="454"/>
      <c r="J210" s="454"/>
      <c r="K210" s="454"/>
      <c r="L210" s="454"/>
      <c r="M210" s="454"/>
      <c r="N210" s="454"/>
      <c r="O210" s="455"/>
      <c r="P210" s="1"/>
      <c r="T210" s="14"/>
      <c r="U210" s="435"/>
      <c r="V210" s="435"/>
      <c r="W210" s="435"/>
      <c r="X210" s="435"/>
      <c r="Y210" s="435"/>
      <c r="Z210" s="1"/>
      <c r="AA210" s="1"/>
      <c r="AB210" s="1"/>
      <c r="AC210" s="1"/>
      <c r="AD210" s="1"/>
      <c r="AE210" s="13"/>
    </row>
    <row r="211" spans="2:31" ht="16.5" hidden="1" customHeight="1" thickBot="1">
      <c r="B211" s="103"/>
      <c r="C211" s="214"/>
      <c r="D211" s="456"/>
      <c r="E211" s="457"/>
      <c r="F211" s="457"/>
      <c r="G211" s="457"/>
      <c r="H211" s="457"/>
      <c r="I211" s="457"/>
      <c r="J211" s="457"/>
      <c r="K211" s="457"/>
      <c r="L211" s="457"/>
      <c r="M211" s="457"/>
      <c r="N211" s="457"/>
      <c r="O211" s="458"/>
      <c r="P211" s="1"/>
      <c r="T211" s="14"/>
      <c r="U211" s="212"/>
      <c r="V211" s="212"/>
      <c r="W211" s="212"/>
      <c r="X211" s="212"/>
      <c r="Y211" s="212"/>
      <c r="Z211" s="1"/>
      <c r="AA211" s="1"/>
      <c r="AB211" s="1"/>
      <c r="AC211" s="1"/>
      <c r="AD211" s="1"/>
      <c r="AE211" s="13"/>
    </row>
    <row r="212" spans="2:31" ht="16.5" hidden="1" customHeight="1">
      <c r="B212" s="103"/>
      <c r="C212" s="170"/>
      <c r="D212" s="175"/>
      <c r="E212" s="175"/>
      <c r="F212" s="175"/>
      <c r="G212" s="175"/>
      <c r="H212" s="175"/>
      <c r="I212" s="175"/>
      <c r="J212" s="175"/>
      <c r="K212" s="175"/>
      <c r="L212" s="175"/>
      <c r="M212" s="175"/>
      <c r="N212" s="175"/>
      <c r="O212" s="175"/>
      <c r="P212" s="1"/>
      <c r="T212" s="14"/>
      <c r="U212" s="1"/>
      <c r="V212" s="1"/>
      <c r="W212" s="1"/>
      <c r="X212" s="1"/>
      <c r="Y212" s="1"/>
      <c r="Z212" s="1"/>
      <c r="AA212" s="1"/>
      <c r="AB212" s="1"/>
      <c r="AC212" s="1"/>
      <c r="AD212" s="1"/>
      <c r="AE212" s="13"/>
    </row>
    <row r="213" spans="2:31" ht="16.5" hidden="1" customHeight="1">
      <c r="B213" s="103"/>
      <c r="C213" s="214"/>
      <c r="D213" s="207"/>
      <c r="E213" s="207"/>
      <c r="F213" s="207"/>
      <c r="G213" s="207"/>
      <c r="H213" s="207"/>
      <c r="I213" s="207"/>
      <c r="J213" s="207"/>
      <c r="K213" s="207"/>
      <c r="L213" s="207"/>
      <c r="M213" s="207"/>
      <c r="N213" s="207"/>
      <c r="O213" s="207"/>
      <c r="P213" s="1"/>
      <c r="T213" s="14"/>
      <c r="U213" s="1"/>
      <c r="V213" s="1"/>
      <c r="W213" s="1"/>
      <c r="X213" s="1"/>
      <c r="Y213" s="1"/>
      <c r="Z213" s="1"/>
      <c r="AA213" s="1"/>
      <c r="AB213" s="1"/>
      <c r="AC213" s="1"/>
      <c r="AD213" s="1"/>
      <c r="AE213" s="13"/>
    </row>
    <row r="214" spans="2:31" ht="16.5" hidden="1" customHeight="1">
      <c r="B214" s="103"/>
      <c r="C214" s="469" t="s">
        <v>304</v>
      </c>
      <c r="D214" s="469"/>
      <c r="E214" s="469"/>
      <c r="F214" s="469"/>
      <c r="G214" s="469"/>
      <c r="H214" s="469"/>
      <c r="I214" s="469"/>
      <c r="J214" s="469"/>
      <c r="K214" s="469"/>
      <c r="L214" s="469"/>
      <c r="M214" s="469"/>
      <c r="N214" s="469"/>
      <c r="O214" s="469"/>
      <c r="P214" s="1"/>
      <c r="T214" s="14"/>
      <c r="U214" s="447" t="s">
        <v>82</v>
      </c>
      <c r="V214" s="447"/>
      <c r="W214" s="447"/>
      <c r="X214" s="447"/>
      <c r="Y214" s="447"/>
      <c r="Z214" s="68"/>
      <c r="AA214" s="1"/>
      <c r="AB214" s="1">
        <f>IFERROR(IF(AB187="Non",0,IF(AB190&gt;=0.5,IF(AB189&gt;Annexes!O5,Annexes!O5,ROUND(AB189,0)),0)),0)</f>
        <v>0</v>
      </c>
      <c r="AC214" s="1"/>
      <c r="AD214" s="1"/>
      <c r="AE214" s="13"/>
    </row>
    <row r="215" spans="2:31" ht="16.5" hidden="1" customHeight="1">
      <c r="B215" s="103"/>
      <c r="C215" s="469"/>
      <c r="D215" s="469"/>
      <c r="E215" s="469"/>
      <c r="F215" s="469"/>
      <c r="G215" s="469"/>
      <c r="H215" s="469"/>
      <c r="I215" s="469"/>
      <c r="J215" s="469"/>
      <c r="K215" s="469"/>
      <c r="L215" s="469"/>
      <c r="M215" s="469"/>
      <c r="N215" s="469"/>
      <c r="O215" s="469"/>
      <c r="P215" s="1"/>
      <c r="T215" s="14"/>
      <c r="U215" s="447" t="s">
        <v>81</v>
      </c>
      <c r="V215" s="447"/>
      <c r="W215" s="447"/>
      <c r="X215" s="447"/>
      <c r="Y215" s="447"/>
      <c r="Z215" s="68"/>
      <c r="AA215" s="1"/>
      <c r="AB215" s="1">
        <f>IFERROR(IF('Mon Entreprise'!K8&gt;Annexes!Q26,0,IF(AB202=TRUE,IF(AB208&gt;Annexes!O6,Annexes!O6,ROUND(AB208,0)),IF(AB205&gt;=0.5,IF(OR(AB199="OUI",AND(OR(AB201="OUI",AB200="OUI"),OR(AB196&gt;=Annexes!P5,AB197&gt;=Annexes!P5,AB198&gt;=0.1))),IF(AB208&gt;Annexes!O6,Annexes!O6,ROUND(AB208,0)),IF(AND(OR(AB201="OUI",AB200="OUI"),OR(AB196&lt;Annexes!P5,AB197&lt;Annexes!P5)),0,0)),0))),0)</f>
        <v>0</v>
      </c>
      <c r="AC215" s="1"/>
      <c r="AD215" s="1"/>
      <c r="AE215" s="13"/>
    </row>
    <row r="216" spans="2:31" ht="16.5" hidden="1" customHeight="1">
      <c r="B216" s="174"/>
      <c r="C216" s="469"/>
      <c r="D216" s="469"/>
      <c r="E216" s="469"/>
      <c r="F216" s="469"/>
      <c r="G216" s="469"/>
      <c r="H216" s="469"/>
      <c r="I216" s="469"/>
      <c r="J216" s="469"/>
      <c r="K216" s="469"/>
      <c r="L216" s="469"/>
      <c r="M216" s="469"/>
      <c r="N216" s="469"/>
      <c r="O216" s="469"/>
      <c r="P216" s="1"/>
      <c r="T216" s="14"/>
      <c r="U216" s="447" t="s">
        <v>399</v>
      </c>
      <c r="V216" s="447"/>
      <c r="W216" s="447"/>
      <c r="X216" s="447"/>
      <c r="Y216" s="447"/>
      <c r="Z216" s="68"/>
      <c r="AA216" s="1"/>
      <c r="AB216" s="1">
        <f>IFERROR(IF('Mon Entreprise'!K8&gt;Annexes!Q26,0,IF(AB202=TRUE,IF(AB207=0,0,IF(AB204&lt;AB207*0.2,ROUND(AB204,0),IF(AB207*0.2&gt;=200000,Annexes!O8,ROUND(AB207*0.2,0)))),IF(OR(AB199="OUI",AND(AB200="OUI",OR(AB196&gt;=0.8,AB197&gt;=0.8,AB198&gt;=0.1))),IF(AB205&gt;=0.7,IF(AB204&lt;AB207*0.2,ROUND(AB204,0),IF(AB207*0.2&gt;=200000,Annexes!O8,ROUND(AB207*0.2,0))),IF(AB205&gt;=0.5,IF(AB204&lt;AB207*0.15,ROUND(AB204,0),IF(AB207*0.15&gt;=200000,Annexes!O8,ROUND(AB207*0.15,0))),IF(AND(AB201="OUI",OR(AB196&gt;=0.8,AB197&gt;=0.8,AB198&gt;=0.1),AB205&gt;=0.7),IF(AB204&lt;AB207*0.2,ROUND(AB204,0),IF(AB207*0.2&gt;=200000,Annexes!O8,ROUND(AB207*0.2,0))),0))),IF(AND(AB201="OUI",OR(AB196&gt;=0.8,AB197&gt;=0.8,AB198&gt;=0.1),AB205&gt;=0.7),IF(AB204&lt;AB207*0.2,ROUND(AB204,0),IF(AB207*0.2&gt;=200000,Annexes!O8,ROUND(AB207*0.2,0))),0)))),0)</f>
        <v>0</v>
      </c>
      <c r="AC216" s="1"/>
      <c r="AD216" s="1"/>
      <c r="AE216" s="13"/>
    </row>
    <row r="217" spans="2:31" ht="16.5" hidden="1" customHeight="1">
      <c r="B217" s="174"/>
      <c r="C217" s="214"/>
      <c r="D217" s="213"/>
      <c r="E217" s="359" t="str">
        <f>IF('Mon Entreprise'!K8&gt;Annexes!Q24,"",IF(OR(AB199="OUI",AND(OR(AB201="OUI",AB200="OUI"),OR(AB196&gt;=Annexes!P5,AB197&gt;=Annexes!P5,'Mes Aides'!AB145&gt;=0.1)),AB202=TRUE),"",IF(AND(OR(AB201="OUI",AB200="OUI"),OR(AB196&lt;Annexes!P5,AB197&lt;Annexes!P5,'Mes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17" s="359"/>
      <c r="G217" s="359"/>
      <c r="H217" s="359"/>
      <c r="I217" s="359"/>
      <c r="J217" s="359"/>
      <c r="K217" s="359"/>
      <c r="L217" s="359"/>
      <c r="M217" s="359"/>
      <c r="N217" s="359"/>
      <c r="O217" s="359"/>
      <c r="P217" s="1"/>
      <c r="T217" s="14"/>
      <c r="U217" s="1"/>
      <c r="V217" s="1"/>
      <c r="W217" s="1"/>
      <c r="X217" s="1"/>
      <c r="Y217" s="1"/>
      <c r="Z217" s="1"/>
      <c r="AA217" s="1"/>
      <c r="AB217" s="1"/>
      <c r="AC217" s="1"/>
      <c r="AD217" s="1"/>
      <c r="AE217" s="13"/>
    </row>
    <row r="218" spans="2:31" ht="30" hidden="1" customHeight="1">
      <c r="B218" s="174"/>
      <c r="C218" s="214"/>
      <c r="D218" s="213"/>
      <c r="E218" s="359"/>
      <c r="F218" s="359"/>
      <c r="G218" s="359"/>
      <c r="H218" s="359"/>
      <c r="I218" s="359"/>
      <c r="J218" s="359"/>
      <c r="K218" s="359"/>
      <c r="L218" s="359"/>
      <c r="M218" s="359"/>
      <c r="N218" s="359"/>
      <c r="O218" s="359"/>
      <c r="P218" s="1"/>
      <c r="T218" s="14"/>
      <c r="U218" s="1"/>
      <c r="V218" s="1"/>
      <c r="W218" s="1"/>
      <c r="X218" s="1"/>
      <c r="Y218" s="1"/>
      <c r="Z218" s="1"/>
      <c r="AA218" s="1"/>
      <c r="AB218" s="1"/>
      <c r="AC218" s="1"/>
      <c r="AD218" s="1"/>
      <c r="AE218" s="13"/>
    </row>
    <row r="219" spans="2:31" ht="16.5" hidden="1" customHeight="1">
      <c r="B219" s="174"/>
      <c r="C219" s="214"/>
      <c r="D219" s="359"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19" s="359"/>
      <c r="F219" s="359"/>
      <c r="G219" s="359"/>
      <c r="H219" s="359"/>
      <c r="I219" s="359"/>
      <c r="J219" s="359"/>
      <c r="K219" s="359"/>
      <c r="L219" s="359"/>
      <c r="M219" s="359"/>
      <c r="N219" s="359"/>
      <c r="O219" s="359"/>
      <c r="P219" s="207"/>
      <c r="Q219" s="207"/>
      <c r="T219" s="14"/>
      <c r="U219" s="1"/>
      <c r="V219" s="1"/>
      <c r="W219" s="1"/>
      <c r="X219" s="1"/>
      <c r="Y219" s="1"/>
      <c r="Z219" s="1"/>
      <c r="AA219" s="1"/>
      <c r="AB219" s="1"/>
      <c r="AC219" s="1"/>
      <c r="AD219" s="1"/>
      <c r="AE219" s="13"/>
    </row>
    <row r="220" spans="2:31" ht="16.5" hidden="1" customHeight="1">
      <c r="B220" s="103"/>
      <c r="C220" s="214"/>
      <c r="D220" s="465" t="str">
        <f>IF(AB202=TRUE,"- L'entreprise peut bénéficier d'une aide de 20 % du CA de référence, plafonnée à 200 000 €",IF(OR(AB199="OUI",AND(AB200="OUI",OR(AB196&gt;=0.8,AB197&gt;=0.8,AB198&gt;=0.1))),IF(AB205&gt;=0.7,"- L'entreprise peut bénéficier d'une aide de 20 % du CA de référence, plafonnée à 200 000 €",IF(AB205&gt;=0.5,"- L'entreprise peut bénéficier d'une aide de 15 % du CA de référence, plafonnée à 200 000 €","- L'entreprise n'a subi ni de fermeture administrative au mois de Janvier, ni de perte d'au moins 50 % de son CA")),IF(AND(AB201="OUI",OR(AB196&gt;=0.8,AB197&gt;=0.8,AB198&gt;=0.1),AB205&gt;=0.5),"-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0" s="465"/>
      <c r="F220" s="465"/>
      <c r="G220" s="465"/>
      <c r="H220" s="465"/>
      <c r="I220" s="465"/>
      <c r="J220" s="465"/>
      <c r="K220" s="465"/>
      <c r="L220" s="465"/>
      <c r="M220" s="465"/>
      <c r="N220" s="465"/>
      <c r="O220" s="465"/>
      <c r="P220" s="207"/>
      <c r="Q220" s="207"/>
      <c r="T220" s="14"/>
      <c r="U220" s="1"/>
      <c r="V220" s="1"/>
      <c r="W220" s="1"/>
      <c r="X220" s="1"/>
      <c r="Y220" s="1"/>
      <c r="Z220" s="1"/>
      <c r="AA220" s="1"/>
      <c r="AB220" s="1"/>
      <c r="AC220" s="1"/>
      <c r="AD220" s="1"/>
      <c r="AE220" s="13"/>
    </row>
    <row r="221" spans="2:31" ht="16.5" hidden="1" customHeight="1">
      <c r="B221" s="169"/>
      <c r="C221" s="214"/>
      <c r="D221" s="465"/>
      <c r="E221" s="465"/>
      <c r="F221" s="465"/>
      <c r="G221" s="465"/>
      <c r="H221" s="465"/>
      <c r="I221" s="465"/>
      <c r="J221" s="465"/>
      <c r="K221" s="465"/>
      <c r="L221" s="465"/>
      <c r="M221" s="465"/>
      <c r="N221" s="465"/>
      <c r="O221" s="465"/>
      <c r="P221" s="207"/>
      <c r="Q221" s="207"/>
      <c r="T221" s="14"/>
      <c r="U221" s="1"/>
      <c r="V221" s="1"/>
      <c r="W221" s="1"/>
      <c r="X221" s="1"/>
      <c r="Y221" s="1"/>
      <c r="Z221" s="1"/>
      <c r="AA221" s="1"/>
      <c r="AB221" s="1"/>
      <c r="AC221" s="1"/>
      <c r="AD221" s="1"/>
      <c r="AE221" s="13"/>
    </row>
    <row r="222" spans="2:31" ht="16.5" hidden="1" customHeight="1" thickBot="1">
      <c r="B222" s="169"/>
      <c r="C222" s="214"/>
      <c r="D222" s="206"/>
      <c r="E222" s="207"/>
      <c r="F222" s="207"/>
      <c r="G222" s="207"/>
      <c r="H222" s="207"/>
      <c r="I222" s="207"/>
      <c r="J222" s="207"/>
      <c r="K222" s="207"/>
      <c r="L222" s="207"/>
      <c r="M222" s="207"/>
      <c r="N222" s="207"/>
      <c r="O222" s="207"/>
      <c r="P222" s="207"/>
      <c r="Q222" s="207"/>
      <c r="T222" s="14"/>
      <c r="U222" s="1"/>
      <c r="V222" s="1"/>
      <c r="W222" s="1"/>
      <c r="X222" s="1"/>
      <c r="Y222" s="1"/>
      <c r="Z222" s="1"/>
      <c r="AA222" s="1"/>
      <c r="AB222" s="1"/>
      <c r="AC222" s="1"/>
      <c r="AD222" s="1"/>
      <c r="AE222" s="13"/>
    </row>
    <row r="223" spans="2:31" ht="16.5" hidden="1" customHeight="1">
      <c r="B223" s="103"/>
      <c r="C223" s="181"/>
      <c r="D223" s="468" t="str">
        <f>IFERROR(IF('Mon Entreprise'!K8&gt;Annexes!Q26,"Vous avez débuté votre activité après le 31 Octobre 2020, vous ne pouvez donc pas bénéficier de cette aide",IF(AB202=TRUE,IF(AB207=0,"Vous n'avez pas indiqué de chiffre d'affaires de référence",IF(AB204&lt;AB207*0.2,"Dans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Janvier"))),IF(OR(AB199="OUI",AND(AB200="OUI",OR(AB196&gt;=0.8,AB197&gt;=0.8,AB198&gt;=0.1))),IF(AB205&gt;=0.7,IF(AB204&lt;AB207*0.2,"Dans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Janvier")),IF(AB205&gt;=0.5,IF(AB204&lt;AB207*0.15,"Dans votre cas, la perte est inférieure à 15 % du CA, l'aide est donc plafonnée à la perte, soit "&amp;ROUND(AB204,0)&amp;" € pour le mois de Janvier",IF(AB207*0.15&gt;=200000,"Dans votre cas, l'aide est plafonnée, à "&amp;Annexes!O8&amp;" € pour le mois de Janvier","Vous pouvez bénéficier, au titre de cette aide, d'un montant de "&amp;ROUND(AB207*0.15,0)&amp;" € pour le mois de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2 (S1 bis) avec 50 % de perte en Janvier ou 3 avec 70 % de Perte en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3" s="451"/>
      <c r="F223" s="451"/>
      <c r="G223" s="451"/>
      <c r="H223" s="451"/>
      <c r="I223" s="451"/>
      <c r="J223" s="451"/>
      <c r="K223" s="451"/>
      <c r="L223" s="451"/>
      <c r="M223" s="451"/>
      <c r="N223" s="451"/>
      <c r="O223" s="452"/>
      <c r="P223" s="207"/>
      <c r="Q223" s="207"/>
      <c r="T223" s="14"/>
      <c r="U223" s="1"/>
      <c r="V223" s="1"/>
      <c r="W223" s="1"/>
      <c r="X223" s="1"/>
      <c r="Y223" s="1"/>
      <c r="Z223" s="1"/>
      <c r="AA223" s="1"/>
      <c r="AB223" s="1"/>
      <c r="AC223" s="1"/>
      <c r="AD223" s="1"/>
      <c r="AE223" s="13"/>
    </row>
    <row r="224" spans="2:31" ht="16.5" hidden="1" customHeight="1">
      <c r="B224" s="103"/>
      <c r="C224" s="181"/>
      <c r="D224" s="453"/>
      <c r="E224" s="454"/>
      <c r="F224" s="454"/>
      <c r="G224" s="454"/>
      <c r="H224" s="454"/>
      <c r="I224" s="454"/>
      <c r="J224" s="454"/>
      <c r="K224" s="454"/>
      <c r="L224" s="454"/>
      <c r="M224" s="454"/>
      <c r="N224" s="454"/>
      <c r="O224" s="455"/>
      <c r="P224" s="207"/>
      <c r="Q224" s="207"/>
      <c r="T224" s="14"/>
      <c r="U224" s="1"/>
      <c r="V224" s="1"/>
      <c r="W224" s="1"/>
      <c r="X224" s="1"/>
      <c r="Y224" s="1"/>
      <c r="Z224" s="1"/>
      <c r="AA224" s="1"/>
      <c r="AB224" s="1"/>
      <c r="AC224" s="1"/>
      <c r="AD224" s="1"/>
      <c r="AE224" s="13"/>
    </row>
    <row r="225" spans="2:31" ht="16.5" hidden="1" customHeight="1">
      <c r="B225" s="103"/>
      <c r="C225" s="181"/>
      <c r="D225" s="453"/>
      <c r="E225" s="454"/>
      <c r="F225" s="454"/>
      <c r="G225" s="454"/>
      <c r="H225" s="454"/>
      <c r="I225" s="454"/>
      <c r="J225" s="454"/>
      <c r="K225" s="454"/>
      <c r="L225" s="454"/>
      <c r="M225" s="454"/>
      <c r="N225" s="454"/>
      <c r="O225" s="455"/>
      <c r="P225" s="176"/>
      <c r="Q225" s="176"/>
      <c r="T225" s="14"/>
      <c r="U225" s="1"/>
      <c r="V225" s="1"/>
      <c r="W225" s="1"/>
      <c r="X225" s="1"/>
      <c r="Y225" s="1"/>
      <c r="Z225" s="1"/>
      <c r="AA225" s="1"/>
      <c r="AB225" s="1"/>
      <c r="AC225" s="1"/>
      <c r="AD225" s="1"/>
      <c r="AE225" s="13"/>
    </row>
    <row r="226" spans="2:31" ht="16.5" hidden="1" customHeight="1" thickBot="1">
      <c r="B226" s="103"/>
      <c r="C226" s="181"/>
      <c r="D226" s="456"/>
      <c r="E226" s="457"/>
      <c r="F226" s="457"/>
      <c r="G226" s="457"/>
      <c r="H226" s="457"/>
      <c r="I226" s="457"/>
      <c r="J226" s="457"/>
      <c r="K226" s="457"/>
      <c r="L226" s="457"/>
      <c r="M226" s="457"/>
      <c r="N226" s="457"/>
      <c r="O226" s="458"/>
      <c r="T226" s="14"/>
      <c r="U226" s="1"/>
      <c r="V226" s="1"/>
      <c r="W226" s="1"/>
      <c r="X226" s="1"/>
      <c r="Y226" s="1"/>
      <c r="Z226" s="1"/>
      <c r="AA226" s="1"/>
      <c r="AB226" s="1"/>
      <c r="AC226" s="1"/>
      <c r="AD226" s="1"/>
      <c r="AE226" s="13"/>
    </row>
    <row r="227" spans="2:31" ht="16.5" hidden="1" customHeight="1">
      <c r="B227" s="5"/>
      <c r="C227" s="5"/>
      <c r="D227" s="217"/>
      <c r="E227" s="217"/>
      <c r="F227" s="217"/>
      <c r="G227" s="217"/>
      <c r="H227" s="217"/>
      <c r="I227" s="217"/>
      <c r="J227" s="217"/>
      <c r="K227" s="217"/>
      <c r="L227" s="217"/>
      <c r="M227" s="217"/>
      <c r="N227" s="217"/>
      <c r="O227" s="217"/>
      <c r="P227" s="178"/>
      <c r="Q227" s="178"/>
      <c r="T227" s="14"/>
      <c r="U227" s="1"/>
      <c r="V227" s="1"/>
      <c r="W227" s="1"/>
      <c r="X227" s="1"/>
      <c r="Y227" s="1"/>
      <c r="Z227" s="1"/>
      <c r="AA227" s="1"/>
      <c r="AB227" s="1"/>
      <c r="AC227" s="1"/>
      <c r="AD227" s="1"/>
      <c r="AE227" s="13"/>
    </row>
    <row r="228" spans="2:31" hidden="1">
      <c r="B228" s="5"/>
      <c r="C228" s="5"/>
      <c r="D228" s="299"/>
      <c r="E228" s="299"/>
      <c r="F228" s="299"/>
      <c r="G228" s="299"/>
      <c r="H228" s="299"/>
      <c r="I228" s="299"/>
      <c r="J228" s="299"/>
      <c r="K228" s="299"/>
      <c r="L228" s="299"/>
      <c r="M228" s="299"/>
      <c r="N228" s="299"/>
      <c r="O228" s="299"/>
      <c r="P228" s="178"/>
      <c r="Q228" s="178"/>
      <c r="T228" s="15"/>
      <c r="U228" s="10"/>
      <c r="V228" s="10"/>
      <c r="W228" s="10"/>
      <c r="X228" s="10"/>
      <c r="Y228" s="10"/>
      <c r="Z228" s="10"/>
      <c r="AA228" s="10"/>
      <c r="AB228" s="10"/>
      <c r="AC228" s="10"/>
      <c r="AD228" s="10"/>
      <c r="AE228" s="4"/>
    </row>
    <row r="229" spans="2:31">
      <c r="B229" s="5"/>
      <c r="C229" s="5"/>
      <c r="D229" s="217"/>
      <c r="E229" s="217"/>
      <c r="F229" s="217"/>
      <c r="G229" s="217"/>
      <c r="H229" s="217"/>
      <c r="I229" s="217"/>
      <c r="J229" s="217"/>
      <c r="K229" s="217"/>
      <c r="L229" s="217"/>
      <c r="M229" s="217"/>
      <c r="N229" s="217"/>
      <c r="O229" s="217"/>
      <c r="P229" s="178"/>
      <c r="Q229" s="178"/>
      <c r="T229" s="16"/>
      <c r="U229" s="11"/>
      <c r="V229" s="11"/>
      <c r="W229" s="11"/>
      <c r="X229" s="11"/>
      <c r="Y229" s="11"/>
      <c r="Z229" s="11"/>
      <c r="AA229" s="11"/>
      <c r="AB229" s="11"/>
      <c r="AC229" s="11"/>
      <c r="AD229" s="11"/>
      <c r="AE229" s="12"/>
    </row>
    <row r="230" spans="2:31" ht="16.5" thickBot="1">
      <c r="B230" s="221"/>
      <c r="C230" s="433" t="s">
        <v>309</v>
      </c>
      <c r="D230" s="433"/>
      <c r="E230" s="433"/>
      <c r="F230" s="433"/>
      <c r="G230" s="433"/>
      <c r="H230" s="433"/>
      <c r="I230" s="222"/>
      <c r="J230" s="222"/>
      <c r="K230" s="222"/>
      <c r="L230" s="222"/>
      <c r="M230" s="222"/>
      <c r="N230" s="222"/>
      <c r="O230" s="222"/>
      <c r="T230" s="14"/>
      <c r="U230" s="1"/>
      <c r="V230" s="1"/>
      <c r="W230" s="1"/>
      <c r="X230" s="1"/>
      <c r="Y230" s="1"/>
      <c r="Z230" s="1"/>
      <c r="AA230" s="1"/>
      <c r="AB230" s="1"/>
      <c r="AC230" s="1"/>
      <c r="AD230" s="1"/>
      <c r="AE230" s="13"/>
    </row>
    <row r="231" spans="2:31" ht="15" customHeight="1">
      <c r="B231" s="63"/>
      <c r="C231" s="24"/>
      <c r="D231" s="24"/>
      <c r="E231" s="24"/>
      <c r="F231" s="24"/>
      <c r="G231" s="24"/>
      <c r="H231" s="63"/>
      <c r="I231" s="1"/>
      <c r="J231" s="1"/>
      <c r="K231" s="1"/>
      <c r="L231" s="1"/>
      <c r="M231" s="1"/>
      <c r="N231" s="1"/>
      <c r="O231" s="1"/>
      <c r="T231" s="25"/>
      <c r="U231" s="435" t="s">
        <v>20</v>
      </c>
      <c r="V231" s="435"/>
      <c r="W231" s="435"/>
      <c r="X231" s="1"/>
      <c r="Y231" s="254" t="s">
        <v>6</v>
      </c>
      <c r="Z231" s="254"/>
      <c r="AA231" s="254"/>
      <c r="AB231" s="254" t="s">
        <v>23</v>
      </c>
      <c r="AC231" s="254"/>
      <c r="AD231" s="254"/>
      <c r="AE231" s="26" t="s">
        <v>24</v>
      </c>
    </row>
    <row r="232" spans="2:31" ht="15" hidden="1" customHeight="1">
      <c r="B232" s="103"/>
      <c r="C232" s="434" t="s">
        <v>312</v>
      </c>
      <c r="D232" s="434"/>
      <c r="E232" s="434"/>
      <c r="F232" s="434"/>
      <c r="G232" s="434"/>
      <c r="H232" s="434"/>
      <c r="I232" s="434"/>
      <c r="J232" s="434"/>
      <c r="K232" s="434"/>
      <c r="L232" s="434"/>
      <c r="M232" s="434"/>
      <c r="N232" s="434"/>
      <c r="O232" s="434"/>
      <c r="P232" s="1"/>
      <c r="T232" s="25"/>
      <c r="U232" s="254"/>
      <c r="V232" s="254"/>
      <c r="W232" s="254"/>
      <c r="X232" s="1"/>
      <c r="Y232" s="254"/>
      <c r="Z232" s="254"/>
      <c r="AA232" s="254"/>
      <c r="AB232" s="254"/>
      <c r="AC232" s="254"/>
      <c r="AD232" s="254"/>
      <c r="AE232" s="26"/>
    </row>
    <row r="233" spans="2:31" ht="15.75" hidden="1" customHeight="1">
      <c r="B233" s="103"/>
      <c r="C233" s="252"/>
      <c r="D233" s="60" t="s">
        <v>123</v>
      </c>
      <c r="E233" s="252"/>
      <c r="F233" s="252"/>
      <c r="G233" s="252"/>
      <c r="H233" s="252"/>
      <c r="I233" s="252"/>
      <c r="J233" s="252"/>
      <c r="K233" s="252"/>
      <c r="L233" s="252"/>
      <c r="M233" s="252"/>
      <c r="N233" s="252"/>
      <c r="O233" s="252"/>
      <c r="P233" s="1"/>
      <c r="T233" s="436" t="s">
        <v>311</v>
      </c>
      <c r="U233" s="435"/>
      <c r="V233" s="435"/>
      <c r="W233" s="435"/>
      <c r="X233" s="1"/>
      <c r="Y233" s="7">
        <f>'Mon Entreprise'!I99</f>
        <v>0</v>
      </c>
      <c r="Z233" s="133"/>
      <c r="AA233" s="21"/>
      <c r="AB233" s="7">
        <f>IF('Mon Entreprise'!I99-'Mon Entreprise'!M99&lt;0,0,'Mon Entreprise'!I99-'Mon Entreprise'!M99)</f>
        <v>0</v>
      </c>
      <c r="AC233" s="13"/>
      <c r="AD233" s="1"/>
      <c r="AE233" s="27">
        <f>IFERROR(1-'Mon Entreprise'!M99/'Mon Entreprise'!I99,0)</f>
        <v>0</v>
      </c>
    </row>
    <row r="234" spans="2:31" ht="16.5" thickBot="1">
      <c r="B234" s="103"/>
      <c r="C234" s="252"/>
      <c r="D234" s="60"/>
      <c r="E234" s="252"/>
      <c r="F234" s="252"/>
      <c r="G234" s="252"/>
      <c r="H234" s="252"/>
      <c r="I234" s="252"/>
      <c r="J234" s="252"/>
      <c r="K234" s="252"/>
      <c r="L234" s="252"/>
      <c r="M234" s="252"/>
      <c r="N234" s="252"/>
      <c r="O234" s="252"/>
      <c r="P234" s="1"/>
      <c r="T234" s="436" t="s">
        <v>25</v>
      </c>
      <c r="U234" s="435"/>
      <c r="V234" s="435"/>
      <c r="W234" s="435"/>
      <c r="X234" s="1"/>
      <c r="Y234" s="7">
        <f>'Mon Entreprise'!I73</f>
        <v>0</v>
      </c>
      <c r="Z234" s="133"/>
      <c r="AA234" s="21"/>
      <c r="AB234" s="7">
        <f>IF('Mon Entreprise'!I73-'Mon Entreprise'!M99&lt;0,0,'Mon Entreprise'!I73-'Mon Entreprise'!M99)</f>
        <v>0</v>
      </c>
      <c r="AC234" s="36"/>
      <c r="AD234" s="1"/>
      <c r="AE234" s="27">
        <f>IFERROR(1-'Mon Entreprise'!M99/'Mon Entreprise'!I73,0)</f>
        <v>0</v>
      </c>
    </row>
    <row r="235" spans="2:31" ht="15.75">
      <c r="B235" s="103"/>
      <c r="C235" s="252"/>
      <c r="D235" s="437" t="str">
        <f>IFERROR(IF(AND(AB271=0,AB272=0,AB273=0),"Vous ne pouvez pas bénéficier du fonds de solidarité pour le mois de Février 2021",IF(AND(AB273&gt;AB272,AB273&gt;AB271),"Votre entreprise peut bénéficier d'une aide de "&amp;AB273&amp;" €, au titre d'une fermeture Administrative avec une perte de 20 % de CA, ou d'une perte d'au moins 50 % ou 70 % du CA pour les activités mentionnées en annexe 1,"&amp;" ou d'une perte d'au moins 70 % du CA pour les activités mentionnées en annexe 2 ou 3 ou dans un centre commercial",IF(AB272&gt;AB271,"Votre entreprise peut bénéficier d'une aide de "&amp;AB272&amp;"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"&amp;AB271&amp;" €, au titre d'une perte d'au-moins 50 % de votre CA en Février 2021"))),"Vous n'avez pas indiqué de chiffre d'affaires de référence")</f>
        <v>Vous ne pouvez pas bénéficier du fonds de solidarité pour le mois de Février 2021</v>
      </c>
      <c r="E235" s="438"/>
      <c r="F235" s="438"/>
      <c r="G235" s="438"/>
      <c r="H235" s="438"/>
      <c r="I235" s="438"/>
      <c r="J235" s="438"/>
      <c r="K235" s="438"/>
      <c r="L235" s="438"/>
      <c r="M235" s="438"/>
      <c r="N235" s="438"/>
      <c r="O235" s="439"/>
      <c r="P235" s="1"/>
      <c r="T235" s="446" t="s">
        <v>22</v>
      </c>
      <c r="U235" s="447"/>
      <c r="V235" s="447"/>
      <c r="W235" s="447"/>
      <c r="X235" s="139"/>
      <c r="Y235" s="140" t="str">
        <f>IF('Mon Entreprise'!I125="","NC",'Mon Entreprise'!I125)</f>
        <v>NC</v>
      </c>
      <c r="Z235" s="192"/>
      <c r="AA235" s="193"/>
      <c r="AB235" s="143" t="str">
        <f>IFERROR(IF('Mon Entreprise'!I125-'Mon Entreprise'!M99&lt;0,0,'Mon Entreprise'!I125-'Mon Entreprise'!M99),"NC")</f>
        <v>NC</v>
      </c>
      <c r="AC235" s="194"/>
      <c r="AD235" s="139"/>
      <c r="AE235" s="146" t="str">
        <f>IFERROR(1-'Mon Entreprise'!M99/'Mon Entreprise'!I125,"NC")</f>
        <v>NC</v>
      </c>
    </row>
    <row r="236" spans="2:31" ht="15.75" customHeight="1">
      <c r="B236" s="103"/>
      <c r="C236" s="252"/>
      <c r="D236" s="440"/>
      <c r="E236" s="441"/>
      <c r="F236" s="441"/>
      <c r="G236" s="441"/>
      <c r="H236" s="441"/>
      <c r="I236" s="441"/>
      <c r="J236" s="441"/>
      <c r="K236" s="441"/>
      <c r="L236" s="441"/>
      <c r="M236" s="441"/>
      <c r="N236" s="441"/>
      <c r="O236" s="442"/>
      <c r="P236" s="1"/>
      <c r="T236" s="14"/>
      <c r="U236" s="1"/>
      <c r="V236" s="1"/>
      <c r="W236" s="1"/>
      <c r="X236" s="1"/>
      <c r="Y236" s="1"/>
      <c r="Z236" s="1"/>
      <c r="AA236" s="1"/>
      <c r="AB236" s="1"/>
      <c r="AC236" s="1"/>
      <c r="AD236" s="1"/>
      <c r="AE236" s="13"/>
    </row>
    <row r="237" spans="2:31" ht="15.75" customHeight="1">
      <c r="B237" s="103"/>
      <c r="C237" s="252"/>
      <c r="D237" s="440"/>
      <c r="E237" s="441"/>
      <c r="F237" s="441"/>
      <c r="G237" s="441"/>
      <c r="H237" s="441"/>
      <c r="I237" s="441"/>
      <c r="J237" s="441"/>
      <c r="K237" s="441"/>
      <c r="L237" s="441"/>
      <c r="M237" s="441"/>
      <c r="N237" s="441"/>
      <c r="O237" s="442"/>
      <c r="P237" s="1"/>
      <c r="T237" s="14"/>
      <c r="AC237" s="1"/>
      <c r="AD237" s="1"/>
      <c r="AE237" s="13"/>
    </row>
    <row r="238" spans="2:31" ht="15.75" customHeight="1">
      <c r="B238" s="103"/>
      <c r="C238" s="252"/>
      <c r="D238" s="440"/>
      <c r="E238" s="441"/>
      <c r="F238" s="441"/>
      <c r="G238" s="441"/>
      <c r="H238" s="441"/>
      <c r="I238" s="441"/>
      <c r="J238" s="441"/>
      <c r="K238" s="441"/>
      <c r="L238" s="441"/>
      <c r="M238" s="441"/>
      <c r="N238" s="441"/>
      <c r="O238" s="442"/>
      <c r="P238" s="1"/>
      <c r="T238" s="14"/>
      <c r="AC238" s="1"/>
      <c r="AD238" s="1"/>
      <c r="AE238" s="13"/>
    </row>
    <row r="239" spans="2:31" ht="15.75" customHeight="1" thickBot="1">
      <c r="B239" s="103"/>
      <c r="C239" s="252"/>
      <c r="D239" s="443"/>
      <c r="E239" s="444"/>
      <c r="F239" s="444"/>
      <c r="G239" s="444"/>
      <c r="H239" s="444"/>
      <c r="I239" s="444"/>
      <c r="J239" s="444"/>
      <c r="K239" s="444"/>
      <c r="L239" s="444"/>
      <c r="M239" s="444"/>
      <c r="N239" s="444"/>
      <c r="O239" s="445"/>
      <c r="P239" s="1"/>
      <c r="T239" s="14"/>
      <c r="AC239" s="1"/>
      <c r="AD239" s="1"/>
      <c r="AE239" s="13"/>
    </row>
    <row r="240" spans="2:31" ht="16.5" customHeight="1">
      <c r="B240" s="103"/>
      <c r="C240" s="252"/>
      <c r="D240" s="60"/>
      <c r="E240" s="252"/>
      <c r="F240" s="252"/>
      <c r="G240" s="252"/>
      <c r="H240" s="252"/>
      <c r="I240" s="252"/>
      <c r="J240" s="252"/>
      <c r="K240" s="252"/>
      <c r="L240" s="252"/>
      <c r="M240" s="252"/>
      <c r="N240" s="252"/>
      <c r="O240" s="252"/>
      <c r="P240" s="1"/>
      <c r="T240" s="14"/>
      <c r="U240" s="1"/>
      <c r="V240" s="1"/>
      <c r="W240" s="1"/>
      <c r="X240" s="1"/>
      <c r="Y240" s="1"/>
      <c r="Z240" s="1"/>
      <c r="AA240" s="1"/>
      <c r="AB240" s="1"/>
      <c r="AC240" s="1"/>
      <c r="AD240" s="1"/>
      <c r="AE240" s="13"/>
    </row>
    <row r="241" spans="2:31" ht="15.75" hidden="1">
      <c r="B241" s="103"/>
      <c r="C241" s="78"/>
      <c r="D241" s="78"/>
      <c r="E241" s="78"/>
      <c r="F241" s="78"/>
      <c r="G241" s="78"/>
      <c r="H241" s="78"/>
      <c r="I241" s="78"/>
      <c r="J241" s="78"/>
      <c r="K241" s="78"/>
      <c r="L241" s="78"/>
      <c r="M241" s="78"/>
      <c r="N241" s="78"/>
      <c r="O241" s="78"/>
      <c r="P241" s="1"/>
      <c r="T241" s="14"/>
      <c r="U241" s="448" t="s">
        <v>72</v>
      </c>
      <c r="V241" s="448"/>
      <c r="W241" s="448"/>
      <c r="X241" s="448"/>
      <c r="Y241" s="448"/>
      <c r="Z241" s="1"/>
      <c r="AA241" s="14"/>
      <c r="AB241" s="251" t="str">
        <f>IF('Mon Entreprise'!K8&lt;=Annexes!Q26,"Oui","Non")</f>
        <v>Oui</v>
      </c>
      <c r="AC241" s="1"/>
      <c r="AD241" s="1"/>
      <c r="AE241" s="13"/>
    </row>
    <row r="242" spans="2:31" ht="15.75" hidden="1">
      <c r="B242" s="103"/>
      <c r="C242" s="252"/>
      <c r="D242" s="60"/>
      <c r="E242" s="252"/>
      <c r="F242" s="252"/>
      <c r="G242" s="252"/>
      <c r="H242" s="252"/>
      <c r="I242" s="252"/>
      <c r="J242" s="252"/>
      <c r="K242" s="252"/>
      <c r="L242" s="252"/>
      <c r="M242" s="252"/>
      <c r="N242" s="252"/>
      <c r="O242" s="252"/>
      <c r="P242" s="1"/>
      <c r="T242" s="14"/>
      <c r="U242" s="296"/>
      <c r="V242" s="448" t="s">
        <v>393</v>
      </c>
      <c r="W242" s="448"/>
      <c r="X242" s="448"/>
      <c r="Y242" s="448"/>
      <c r="Z242" s="1"/>
      <c r="AA242" s="14"/>
      <c r="AB242" s="295">
        <f>IF('Mon Entreprise'!K8&gt;=Annexes!O20,IF(Y233&gt;=Y235,Y233,Y235),IF(Y233&gt;=Y234,Y233,Y234))</f>
        <v>0</v>
      </c>
      <c r="AC242" s="1"/>
      <c r="AD242" s="1"/>
      <c r="AE242" s="13"/>
    </row>
    <row r="243" spans="2:31" ht="15.75" hidden="1">
      <c r="B243" s="103"/>
      <c r="C243" s="252" t="s">
        <v>310</v>
      </c>
      <c r="D243" s="60"/>
      <c r="E243" s="252"/>
      <c r="F243" s="252"/>
      <c r="G243" s="252"/>
      <c r="H243" s="252"/>
      <c r="I243" s="252"/>
      <c r="J243" s="252"/>
      <c r="K243" s="252"/>
      <c r="L243" s="252"/>
      <c r="M243" s="252"/>
      <c r="N243" s="252"/>
      <c r="O243" s="252"/>
      <c r="P243" s="1"/>
      <c r="T243" s="14"/>
      <c r="U243" s="448" t="s">
        <v>84</v>
      </c>
      <c r="V243" s="448"/>
      <c r="W243" s="448"/>
      <c r="X243" s="448"/>
      <c r="Y243" s="448"/>
      <c r="Z243" s="1"/>
      <c r="AA243" s="14"/>
      <c r="AB243" s="249">
        <f>IF('Mon Entreprise'!K8&gt;=Annexes!O20,IF(AB233&gt;=AB235,AB233,AB235),IF(AB233&gt;=AB234,AB233,AB234))</f>
        <v>0</v>
      </c>
      <c r="AC243" s="1"/>
      <c r="AD243" s="1"/>
      <c r="AE243" s="13"/>
    </row>
    <row r="244" spans="2:31" ht="15.75" hidden="1">
      <c r="B244" s="169"/>
      <c r="C244" s="252"/>
      <c r="D244" s="60" t="str">
        <f>IFERROR(IF('Mon Entreprise'!K8&gt;=Annexes!O20,IF(AB233&gt;=AB235,"Le CA de référence est celui de Février 2019, soit une perte de "&amp;ROUND(AB233,0)&amp;" €"&amp;" ==&gt; "&amp;ROUND(AE233*100,0)&amp;" %","Le CA de référence est celui de la création, soit une perte de "&amp;ROUND(AB235,0)&amp;" €"&amp;" ==&gt; "&amp;ROUND(AE235*100,0)&amp;" %"),IF(AB233&gt;=AB234,"Le CA de référence est celui de Février 2019, soit une perte de "&amp;ROUND(AB233,0)&amp;" €"&amp;" ==&gt; "&amp;ROUND(AE233*100,0)&amp;" %","Le CA de référence est celui de de l'exercice 2019, soit une perte de "&amp;ROUND(AB234,0)&amp;" €"&amp;" ==&gt; "&amp;ROUND(AE234*100,0)&amp;" %")),"")</f>
        <v>Le CA de référence est celui de Février 2019, soit une perte de 0 € ==&gt; 0 %</v>
      </c>
      <c r="E244" s="252"/>
      <c r="F244" s="252"/>
      <c r="G244" s="252"/>
      <c r="H244" s="252"/>
      <c r="I244" s="252"/>
      <c r="J244" s="252"/>
      <c r="K244" s="252"/>
      <c r="L244" s="252"/>
      <c r="M244" s="252"/>
      <c r="N244" s="252"/>
      <c r="O244" s="252"/>
      <c r="P244" s="1"/>
      <c r="T244" s="14"/>
      <c r="U244" s="448" t="s">
        <v>85</v>
      </c>
      <c r="V244" s="448"/>
      <c r="W244" s="448"/>
      <c r="X244" s="448"/>
      <c r="Y244" s="448"/>
      <c r="Z244" s="1"/>
      <c r="AA244" s="14"/>
      <c r="AB244" s="19">
        <f>IF('Mon Entreprise'!K8&gt;=Annexes!O20,IF(AB233&gt;=AB235,AE233,AE235),IF(AB233&gt;=AB234,AE233,AE234))</f>
        <v>0</v>
      </c>
      <c r="AC244" s="1"/>
      <c r="AD244" s="1"/>
      <c r="AE244" s="13"/>
    </row>
    <row r="245" spans="2:31" ht="16.5" hidden="1" thickBot="1">
      <c r="B245" s="103"/>
      <c r="C245" s="252"/>
      <c r="D245" s="60"/>
      <c r="E245" s="252"/>
      <c r="F245" s="252"/>
      <c r="G245" s="252"/>
      <c r="H245" s="252"/>
      <c r="I245" s="252"/>
      <c r="J245" s="252"/>
      <c r="K245" s="252"/>
      <c r="L245" s="252"/>
      <c r="M245" s="252"/>
      <c r="N245" s="252"/>
      <c r="O245" s="252"/>
      <c r="P245" s="1"/>
      <c r="T245" s="14"/>
      <c r="U245" s="1"/>
      <c r="V245" s="1"/>
      <c r="W245" s="1"/>
      <c r="X245" s="1"/>
      <c r="Y245" s="1"/>
      <c r="Z245" s="1"/>
      <c r="AA245" s="1"/>
      <c r="AB245" s="1"/>
      <c r="AC245" s="1"/>
      <c r="AD245" s="1"/>
      <c r="AE245" s="13"/>
    </row>
    <row r="246" spans="2:31" ht="15.75" hidden="1">
      <c r="B246" s="169"/>
      <c r="C246" s="252"/>
      <c r="D246" s="450" t="str">
        <f>IFERROR(IF(AB241="Non","Vous avez débuté votre activité après le 31 Octobre 2020, vous ne pouvez donc pas bénéficier de cette aide",IF(AB244&gt;=0.5,IF(AB243&gt;Annexes!O5,"Dans votre cas, l'aide est Plafonnée, à "&amp;Annexes!O5&amp;" € pour le mois de Février","Vous pouvez bénéficier, au titre de cette aide, d'un montant de "&amp;ROUND(AB243,0)&amp;" € pour le mois de Février"),"L'entreprise n'a pas une perte d'au moins 50 % en Février 2021")),"Vous n'avez pas indiqué de chiffre d'affaires de référence")</f>
        <v>L'entreprise n'a pas une perte d'au moins 50 % en Février 2021</v>
      </c>
      <c r="E246" s="451"/>
      <c r="F246" s="451"/>
      <c r="G246" s="451"/>
      <c r="H246" s="451"/>
      <c r="I246" s="451"/>
      <c r="J246" s="451"/>
      <c r="K246" s="451"/>
      <c r="L246" s="451"/>
      <c r="M246" s="451"/>
      <c r="N246" s="451"/>
      <c r="O246" s="452"/>
      <c r="P246" s="1"/>
      <c r="T246" s="14"/>
      <c r="U246" s="1"/>
      <c r="V246" s="1"/>
      <c r="W246" s="1"/>
      <c r="X246" s="1"/>
      <c r="Y246" s="1"/>
      <c r="Z246" s="1"/>
      <c r="AA246" s="1"/>
      <c r="AB246" s="1"/>
      <c r="AC246" s="1"/>
      <c r="AD246" s="1"/>
      <c r="AE246" s="13"/>
    </row>
    <row r="247" spans="2:31" ht="15.75" hidden="1" customHeight="1">
      <c r="B247" s="169"/>
      <c r="C247" s="252"/>
      <c r="D247" s="453"/>
      <c r="E247" s="454"/>
      <c r="F247" s="454"/>
      <c r="G247" s="454"/>
      <c r="H247" s="454"/>
      <c r="I247" s="454"/>
      <c r="J247" s="454"/>
      <c r="K247" s="454"/>
      <c r="L247" s="454"/>
      <c r="M247" s="454"/>
      <c r="N247" s="454"/>
      <c r="O247" s="455"/>
      <c r="P247" s="1"/>
      <c r="T247" s="14"/>
      <c r="U247" s="1"/>
      <c r="V247" s="1"/>
      <c r="W247" s="1"/>
      <c r="X247" s="1"/>
      <c r="Y247" s="1"/>
      <c r="Z247" s="1"/>
      <c r="AA247" s="1"/>
      <c r="AB247" s="1"/>
      <c r="AC247" s="1"/>
      <c r="AD247" s="1"/>
      <c r="AE247" s="13"/>
    </row>
    <row r="248" spans="2:31" ht="15.75" hidden="1" customHeight="1">
      <c r="B248" s="103"/>
      <c r="C248" s="252"/>
      <c r="D248" s="453"/>
      <c r="E248" s="454"/>
      <c r="F248" s="454"/>
      <c r="G248" s="454"/>
      <c r="H248" s="454"/>
      <c r="I248" s="454"/>
      <c r="J248" s="454"/>
      <c r="K248" s="454"/>
      <c r="L248" s="454"/>
      <c r="M248" s="454"/>
      <c r="N248" s="454"/>
      <c r="O248" s="455"/>
      <c r="P248" s="1"/>
      <c r="T248" s="14"/>
      <c r="U248" s="1"/>
      <c r="V248" s="1"/>
      <c r="W248" s="1"/>
      <c r="X248" s="1"/>
      <c r="Y248" s="1"/>
      <c r="Z248" s="1"/>
      <c r="AA248" s="1"/>
      <c r="AB248" s="1"/>
      <c r="AC248" s="1"/>
      <c r="AD248" s="1"/>
      <c r="AE248" s="13"/>
    </row>
    <row r="249" spans="2:31" ht="15.75" hidden="1" customHeight="1" thickBot="1">
      <c r="B249" s="103"/>
      <c r="C249" s="252"/>
      <c r="D249" s="456"/>
      <c r="E249" s="457"/>
      <c r="F249" s="457"/>
      <c r="G249" s="457"/>
      <c r="H249" s="457"/>
      <c r="I249" s="457"/>
      <c r="J249" s="457"/>
      <c r="K249" s="457"/>
      <c r="L249" s="457"/>
      <c r="M249" s="457"/>
      <c r="N249" s="457"/>
      <c r="O249" s="458"/>
      <c r="P249" s="1"/>
      <c r="T249" s="14"/>
      <c r="U249" s="1"/>
      <c r="V249" s="1"/>
      <c r="W249" s="1"/>
      <c r="X249" s="1"/>
      <c r="Y249" s="1"/>
      <c r="Z249" s="1"/>
      <c r="AA249" s="1"/>
      <c r="AB249" s="1"/>
      <c r="AC249" s="1"/>
      <c r="AD249" s="1"/>
      <c r="AE249" s="13"/>
    </row>
    <row r="250" spans="2:31" ht="16.5" hidden="1" customHeight="1">
      <c r="B250" s="103"/>
      <c r="C250" s="170"/>
      <c r="D250" s="459" t="s">
        <v>395</v>
      </c>
      <c r="E250" s="459"/>
      <c r="F250" s="459"/>
      <c r="G250" s="459"/>
      <c r="H250" s="459"/>
      <c r="I250" s="459"/>
      <c r="J250" s="459"/>
      <c r="K250" s="459"/>
      <c r="L250" s="459"/>
      <c r="M250" s="459"/>
      <c r="N250" s="459"/>
      <c r="O250" s="459"/>
      <c r="P250" s="1"/>
      <c r="T250" s="460" t="s">
        <v>4</v>
      </c>
      <c r="U250" s="461"/>
      <c r="V250" s="461"/>
      <c r="W250" s="461"/>
      <c r="X250" s="461"/>
      <c r="Y250" s="461"/>
      <c r="Z250" s="139"/>
      <c r="AA250" s="145"/>
      <c r="AB250" s="195">
        <f>IFERROR(IF('Mon Entreprise'!K8&gt;=Annexes!Q18,0,1-'Mon Entreprise'!M93/2/AB242),0)</f>
        <v>0</v>
      </c>
      <c r="AC250" s="1"/>
      <c r="AD250" s="1"/>
      <c r="AE250" s="13"/>
    </row>
    <row r="251" spans="2:31" ht="16.5" hidden="1" customHeight="1">
      <c r="B251" s="103"/>
      <c r="C251" s="252"/>
      <c r="D251" s="250"/>
      <c r="E251" s="250"/>
      <c r="F251" s="250"/>
      <c r="G251" s="250"/>
      <c r="H251" s="250"/>
      <c r="I251" s="250"/>
      <c r="J251" s="250"/>
      <c r="K251" s="250"/>
      <c r="L251" s="250"/>
      <c r="M251" s="250"/>
      <c r="N251" s="250"/>
      <c r="O251" s="250"/>
      <c r="P251" s="1"/>
      <c r="T251" s="110"/>
      <c r="U251" s="462" t="s">
        <v>102</v>
      </c>
      <c r="V251" s="462"/>
      <c r="W251" s="462"/>
      <c r="X251" s="462"/>
      <c r="Y251" s="462"/>
      <c r="Z251" s="139"/>
      <c r="AA251" s="145"/>
      <c r="AB251" s="195">
        <f>IFERROR(IF('Mon Entreprise'!K8&gt;Annexes!Q26,0,1-'Mon Entreprise'!M89/AB242),0)</f>
        <v>0</v>
      </c>
      <c r="AC251" s="1"/>
      <c r="AD251" s="1"/>
      <c r="AE251" s="13"/>
    </row>
    <row r="252" spans="2:31" ht="16.5" hidden="1" customHeight="1">
      <c r="B252" s="103"/>
      <c r="C252" s="463" t="s">
        <v>422</v>
      </c>
      <c r="D252" s="463"/>
      <c r="E252" s="463"/>
      <c r="F252" s="463"/>
      <c r="G252" s="463"/>
      <c r="H252" s="463"/>
      <c r="I252" s="463"/>
      <c r="J252" s="463"/>
      <c r="K252" s="463"/>
      <c r="L252" s="463"/>
      <c r="M252" s="463"/>
      <c r="N252" s="463"/>
      <c r="O252" s="463"/>
      <c r="P252" s="1"/>
      <c r="T252" s="110"/>
      <c r="U252" s="462" t="s">
        <v>109</v>
      </c>
      <c r="V252" s="462"/>
      <c r="W252" s="462"/>
      <c r="X252" s="462"/>
      <c r="Y252" s="462"/>
      <c r="Z252" s="139"/>
      <c r="AA252" s="145"/>
      <c r="AB252" s="195">
        <f>IFERROR(IF(Annexes!O27&gt;'Mon Entreprise'!K8,1-'Mon Entreprise'!M73/'Mon Entreprise'!I73,0),0)</f>
        <v>0</v>
      </c>
      <c r="AC252" s="1"/>
      <c r="AD252" s="1"/>
      <c r="AE252" s="13"/>
    </row>
    <row r="253" spans="2:31" ht="16.5" hidden="1" customHeight="1">
      <c r="B253" s="103"/>
      <c r="C253" s="463"/>
      <c r="D253" s="463"/>
      <c r="E253" s="463"/>
      <c r="F253" s="463"/>
      <c r="G253" s="463"/>
      <c r="H253" s="463"/>
      <c r="I253" s="463"/>
      <c r="J253" s="463"/>
      <c r="K253" s="463"/>
      <c r="L253" s="463"/>
      <c r="M253" s="463"/>
      <c r="N253" s="463"/>
      <c r="O253" s="463"/>
      <c r="P253" s="1"/>
      <c r="T253" s="110"/>
      <c r="U253" s="268"/>
      <c r="V253" s="268"/>
      <c r="W253" s="268"/>
      <c r="X253" s="268"/>
      <c r="Y253" s="268"/>
      <c r="Z253" s="139"/>
      <c r="AA253" s="145"/>
      <c r="AB253" s="195"/>
      <c r="AC253" s="1"/>
      <c r="AD253" s="1"/>
      <c r="AE253" s="13"/>
    </row>
    <row r="254" spans="2:31" ht="16.5" hidden="1" customHeight="1">
      <c r="B254" s="103"/>
      <c r="C254" s="463"/>
      <c r="D254" s="463"/>
      <c r="E254" s="463"/>
      <c r="F254" s="463"/>
      <c r="G254" s="463"/>
      <c r="H254" s="463"/>
      <c r="I254" s="463"/>
      <c r="J254" s="463"/>
      <c r="K254" s="463"/>
      <c r="L254" s="463"/>
      <c r="M254" s="463"/>
      <c r="N254" s="463"/>
      <c r="O254" s="463"/>
      <c r="P254" s="1"/>
      <c r="T254" s="14"/>
      <c r="U254" s="464" t="s">
        <v>8</v>
      </c>
      <c r="V254" s="464"/>
      <c r="W254" s="464"/>
      <c r="X254" s="464"/>
      <c r="Y254" s="464"/>
      <c r="Z254" s="1"/>
      <c r="AA254" s="14"/>
      <c r="AB254" s="249" t="str">
        <f>IF((AND(Annexes!F5&gt;1,Annexes!F5&lt;=Annexes!H6)),"OUI","NON")</f>
        <v>NON</v>
      </c>
      <c r="AC254" s="1"/>
      <c r="AD254" s="1"/>
      <c r="AE254" s="13"/>
    </row>
    <row r="255" spans="2:31" ht="16.5" hidden="1" customHeight="1">
      <c r="B255" s="103"/>
      <c r="C255" s="463"/>
      <c r="D255" s="463"/>
      <c r="E255" s="463"/>
      <c r="F255" s="463"/>
      <c r="G255" s="463"/>
      <c r="H255" s="463"/>
      <c r="I255" s="463"/>
      <c r="J255" s="463"/>
      <c r="K255" s="463"/>
      <c r="L255" s="463"/>
      <c r="M255" s="463"/>
      <c r="N255" s="463"/>
      <c r="O255" s="463"/>
      <c r="P255" s="1"/>
      <c r="T255" s="14"/>
      <c r="U255" s="253"/>
      <c r="V255" s="253"/>
      <c r="W255" s="253"/>
      <c r="X255" s="253"/>
      <c r="Y255" s="253" t="s">
        <v>9</v>
      </c>
      <c r="Z255" s="1"/>
      <c r="AA255" s="14"/>
      <c r="AB255" s="249" t="str">
        <f>IF(AND(Annexes!F7&gt;1,Annexes!F7&lt;=Annexes!H8),"OUI","NON")</f>
        <v>NON</v>
      </c>
      <c r="AC255" s="1"/>
      <c r="AD255" s="1"/>
      <c r="AE255" s="13"/>
    </row>
    <row r="256" spans="2:31" ht="16.5" hidden="1" customHeight="1">
      <c r="B256" s="103"/>
      <c r="C256" s="252"/>
      <c r="D256" s="250"/>
      <c r="E256" s="359" t="str">
        <f>IF('Mon Entreprise'!K8&gt;Annexes!Q24,"",IF(OR(AB254="OUI",AND(OR(AB256="OUI",AB257="OUI",AB255="OUI"),OR(AB250&gt;=Annexes!P5,AB251&gt;=Annexes!P5,'Mes Aides'!AB145&gt;=0.1)),AB258=TRUE),"",IF(AND(OR(AB256="OUI",AB257="OUI",AB255="OUI"),OR(AB250&lt;Annexes!P5,AB251&lt;Annexes!P5,'Mes Aides'!AB198&lt;0.1)),"L'entreprise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56" s="359"/>
      <c r="G256" s="359"/>
      <c r="H256" s="359"/>
      <c r="I256" s="359"/>
      <c r="J256" s="359"/>
      <c r="K256" s="359"/>
      <c r="L256" s="359"/>
      <c r="M256" s="359"/>
      <c r="N256" s="359"/>
      <c r="O256" s="359"/>
      <c r="P256" s="1"/>
      <c r="T256" s="436" t="s">
        <v>415</v>
      </c>
      <c r="U256" s="435"/>
      <c r="V256" s="435"/>
      <c r="W256" s="435"/>
      <c r="X256" s="435"/>
      <c r="Y256" s="435"/>
      <c r="Z256" s="1"/>
      <c r="AA256" s="14"/>
      <c r="AB256" s="249" t="str">
        <f>IF(OR(Annexes!M17=TRUE,Annexes!M23=TRUE),"OUI","NON")</f>
        <v>NON</v>
      </c>
      <c r="AC256" s="1"/>
      <c r="AD256" s="1"/>
      <c r="AE256" s="13"/>
    </row>
    <row r="257" spans="1:31" ht="16.5" hidden="1" customHeight="1">
      <c r="B257" s="103"/>
      <c r="C257" s="265"/>
      <c r="D257" s="264"/>
      <c r="E257" s="359"/>
      <c r="F257" s="359"/>
      <c r="G257" s="359"/>
      <c r="H257" s="359"/>
      <c r="I257" s="359"/>
      <c r="J257" s="359"/>
      <c r="K257" s="359"/>
      <c r="L257" s="359"/>
      <c r="M257" s="359"/>
      <c r="N257" s="359"/>
      <c r="O257" s="359"/>
      <c r="P257" s="1"/>
      <c r="T257" s="293"/>
      <c r="U257" s="435" t="s">
        <v>305</v>
      </c>
      <c r="V257" s="435"/>
      <c r="W257" s="435"/>
      <c r="X257" s="435"/>
      <c r="Y257" s="435"/>
      <c r="Z257" s="1"/>
      <c r="AA257" s="14"/>
      <c r="AB257" s="294" t="str">
        <f>IF(OR(Annexes!M17=TRUE,Annexes!M23=TRUE),"OUI","NON")</f>
        <v>NON</v>
      </c>
      <c r="AC257" s="1"/>
      <c r="AD257" s="1"/>
      <c r="AE257" s="13"/>
    </row>
    <row r="258" spans="1:31" ht="16.5" hidden="1" customHeight="1">
      <c r="B258" s="169"/>
      <c r="C258" s="252"/>
      <c r="D258" s="250"/>
      <c r="E258" s="359"/>
      <c r="F258" s="359"/>
      <c r="G258" s="359"/>
      <c r="H258" s="359"/>
      <c r="I258" s="359"/>
      <c r="J258" s="359"/>
      <c r="K258" s="359"/>
      <c r="L258" s="359"/>
      <c r="M258" s="359"/>
      <c r="N258" s="359"/>
      <c r="O258" s="359"/>
      <c r="P258" s="1"/>
      <c r="T258" s="14"/>
      <c r="U258" s="435" t="s">
        <v>313</v>
      </c>
      <c r="V258" s="435"/>
      <c r="W258" s="435"/>
      <c r="X258" s="435"/>
      <c r="Y258" s="435"/>
      <c r="Z258" s="1"/>
      <c r="AA258" s="14"/>
      <c r="AB258" s="249" t="b">
        <f>IF(Annexes!M21=TRUE,TRUE,FALSE)</f>
        <v>0</v>
      </c>
      <c r="AC258" s="1"/>
      <c r="AD258" s="1"/>
      <c r="AE258" s="13"/>
    </row>
    <row r="259" spans="1:31" ht="16.5" hidden="1" customHeight="1">
      <c r="A259" s="99"/>
      <c r="B259" s="103"/>
      <c r="C259" s="252"/>
      <c r="D259" s="465"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59" s="465"/>
      <c r="F259" s="465"/>
      <c r="G259" s="465"/>
      <c r="H259" s="465"/>
      <c r="I259" s="465"/>
      <c r="J259" s="465"/>
      <c r="K259" s="465"/>
      <c r="L259" s="465"/>
      <c r="M259" s="465"/>
      <c r="N259" s="465"/>
      <c r="O259" s="465"/>
      <c r="P259" s="1"/>
      <c r="T259" s="14"/>
      <c r="U259" s="467" t="s">
        <v>72</v>
      </c>
      <c r="V259" s="467"/>
      <c r="W259" s="467"/>
      <c r="X259" s="467"/>
      <c r="Y259" s="467"/>
      <c r="Z259" s="139"/>
      <c r="AA259" s="145"/>
      <c r="AB259" s="251" t="str">
        <f>IF('Mon Entreprise'!K8&lt;=Annexes!Q26,"Oui","Non")</f>
        <v>Oui</v>
      </c>
      <c r="AC259" s="139"/>
      <c r="AD259" s="1"/>
      <c r="AE259" s="13"/>
    </row>
    <row r="260" spans="1:31" ht="16.5" hidden="1" customHeight="1">
      <c r="B260" s="103"/>
      <c r="C260" s="252"/>
      <c r="D260" s="216" t="str">
        <f>IF(OR(AB254="OUI",AB258=TRUE),"- Sans ticket modérateur",IF(AND(OR(AB256="OUI",AB255="OUI"),OR(AB250&gt;=0.8,AB251&gt;=0.8,AB252&gt;=0.1)),"- La Perte de référence est plafonnée à 80 %, soit "&amp;ROUND(AB264,0)&amp;" €","- Sans ticket modérateur"))</f>
        <v>- Sans ticket modérateur</v>
      </c>
      <c r="E260" s="248"/>
      <c r="F260" s="248"/>
      <c r="G260" s="248"/>
      <c r="H260" s="248"/>
      <c r="I260" s="248"/>
      <c r="J260" s="248"/>
      <c r="K260" s="248"/>
      <c r="L260" s="248"/>
      <c r="M260" s="248"/>
      <c r="N260" s="248"/>
      <c r="O260" s="248"/>
      <c r="P260" s="1"/>
      <c r="T260" s="14"/>
      <c r="U260" s="467" t="s">
        <v>84</v>
      </c>
      <c r="V260" s="467"/>
      <c r="W260" s="467"/>
      <c r="X260" s="467"/>
      <c r="Y260" s="467"/>
      <c r="Z260" s="139"/>
      <c r="AA260" s="145"/>
      <c r="AB260" s="251">
        <f>IF('Mon Entreprise'!K8&gt;=Annexes!O20,IF(AB233&gt;=AB235,AB233,AB235),IF(AB233&gt;=AB234,AB233,AB234))</f>
        <v>0</v>
      </c>
      <c r="AC260" s="139"/>
      <c r="AD260" s="1"/>
      <c r="AE260" s="13"/>
    </row>
    <row r="261" spans="1:31" ht="16.5" hidden="1" customHeight="1" thickBot="1">
      <c r="B261" s="103"/>
      <c r="C261" s="252"/>
      <c r="D261" s="248"/>
      <c r="E261" s="248"/>
      <c r="F261" s="248"/>
      <c r="G261" s="248"/>
      <c r="H261" s="248"/>
      <c r="I261" s="248"/>
      <c r="J261" s="248"/>
      <c r="K261" s="248"/>
      <c r="L261" s="248"/>
      <c r="M261" s="248"/>
      <c r="N261" s="248"/>
      <c r="O261" s="248"/>
      <c r="P261" s="1"/>
      <c r="T261" s="14"/>
      <c r="U261" s="467" t="s">
        <v>85</v>
      </c>
      <c r="V261" s="467"/>
      <c r="W261" s="467"/>
      <c r="X261" s="467"/>
      <c r="Y261" s="467"/>
      <c r="Z261" s="139"/>
      <c r="AA261" s="145"/>
      <c r="AB261" s="251">
        <f>IF('Mon Entreprise'!K8&gt;=Annexes!O20,IF(AB233&gt;=AB235,AE233,AE235),IF(AB233&gt;=AB234,AE233,AE234))</f>
        <v>0</v>
      </c>
      <c r="AC261" s="139"/>
      <c r="AD261" s="1"/>
      <c r="AE261" s="13"/>
    </row>
    <row r="262" spans="1:31" ht="16.5" hidden="1" customHeight="1">
      <c r="B262" s="103"/>
      <c r="C262" s="252"/>
      <c r="D262" s="450" t="str">
        <f>IFERROR(IF('Mon Entreprise'!K8&gt;Annexes!Q26,"Vous avez débuté votre activité après le 31 Octobre 2020, vous ne pouvez donc pas bénéficier de cette aide",IF(AB258=TRUE,IF(AB264&gt;Annexes!O6,"Dans votre cas, l'aide est Plafonnée, à "&amp;Annexes!O6&amp;" € pour le mois de Février","Vous pouvez bénéficier, au titre de cette aide, d'un montant de "&amp;ROUND(AB264,0)&amp;" € pour le mois de Février"),IF(AB261&gt;=0.5,IF(OR(AB254="OUI",AND(OR(AB256="OUI",AB255="OUI"),OR(AB250&gt;=Annexes!P5,AB251&gt;=Annexes!P5,AB252&gt;=0.1))),IF(AB264&gt;Annexes!O6,"Dans votre cas, l'aide est Plafonnée, à "&amp;Annexes!O6&amp;" € pour le mois de Février","Vous pouvez bénéficier, au titre de cette aide, d'un montant de "&amp;ROUND(AB264,0)&amp;" € pour le mois de Février"),IF(AND(OR(AB256="OUI",AB255="OUI"),OR(AB250&lt;Annexes!P5,AB251&lt;Annexes!P5)),"L'entreprise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2" s="451"/>
      <c r="F262" s="451"/>
      <c r="G262" s="451"/>
      <c r="H262" s="451"/>
      <c r="I262" s="451"/>
      <c r="J262" s="451"/>
      <c r="K262" s="451"/>
      <c r="L262" s="451"/>
      <c r="M262" s="451"/>
      <c r="N262" s="451"/>
      <c r="O262" s="452"/>
      <c r="P262" s="1"/>
      <c r="T262" s="14"/>
      <c r="U262" s="447" t="s">
        <v>74</v>
      </c>
      <c r="V262" s="447"/>
      <c r="W262" s="447"/>
      <c r="X262" s="447"/>
      <c r="Y262" s="447"/>
      <c r="Z262" s="139"/>
      <c r="AA262" s="145"/>
      <c r="AB262" s="251">
        <f>IF(OR(AB254="OUI",AB258=TRUE),1,IF(AND(OR(AB256="OUI",AB255="OUI"),OR(AB250&gt;=0.8,AB251&gt;=0.8,AB252&gt;=0.1)),0.8,1))</f>
        <v>1</v>
      </c>
      <c r="AC262" s="139"/>
      <c r="AD262" s="1"/>
      <c r="AE262" s="13"/>
    </row>
    <row r="263" spans="1:31" ht="16.5" hidden="1" customHeight="1">
      <c r="B263" s="174"/>
      <c r="C263" s="252"/>
      <c r="D263" s="453"/>
      <c r="E263" s="454"/>
      <c r="F263" s="454"/>
      <c r="G263" s="454"/>
      <c r="H263" s="454"/>
      <c r="I263" s="454"/>
      <c r="J263" s="454"/>
      <c r="K263" s="454"/>
      <c r="L263" s="454"/>
      <c r="M263" s="454"/>
      <c r="N263" s="454"/>
      <c r="O263" s="455"/>
      <c r="P263" s="1"/>
      <c r="T263" s="14"/>
      <c r="U263" s="447" t="s">
        <v>80</v>
      </c>
      <c r="V263" s="447"/>
      <c r="W263" s="447"/>
      <c r="X263" s="447"/>
      <c r="Y263" s="447"/>
      <c r="Z263" s="139"/>
      <c r="AA263" s="145"/>
      <c r="AB263" s="251">
        <f>IF('Mon Entreprise'!K8&gt;=Annexes!O20,IF(AB233&gt;=AB235,Y233,Y235),IF(AB233&gt;=AB234,Y233,Y234))</f>
        <v>0</v>
      </c>
      <c r="AC263" s="139"/>
      <c r="AD263" s="1"/>
      <c r="AE263" s="13"/>
    </row>
    <row r="264" spans="1:31" ht="16.5" hidden="1" customHeight="1">
      <c r="B264" s="103"/>
      <c r="C264" s="252"/>
      <c r="D264" s="453"/>
      <c r="E264" s="454"/>
      <c r="F264" s="454"/>
      <c r="G264" s="454"/>
      <c r="H264" s="454"/>
      <c r="I264" s="454"/>
      <c r="J264" s="454"/>
      <c r="K264" s="454"/>
      <c r="L264" s="454"/>
      <c r="M264" s="454"/>
      <c r="N264" s="454"/>
      <c r="O264" s="455"/>
      <c r="P264" s="1"/>
      <c r="T264" s="14"/>
      <c r="U264" s="435" t="s">
        <v>104</v>
      </c>
      <c r="V264" s="435"/>
      <c r="W264" s="435"/>
      <c r="X264" s="435"/>
      <c r="Y264" s="435"/>
      <c r="Z264" s="1"/>
      <c r="AA264" s="14"/>
      <c r="AB264" s="249">
        <f>IF(AB262=1,AB260,IF(AB260*AB262&gt;1500,IF(AB260&gt;1500,AB260*AB262,"Impossible"),IF(AB260&lt;1500,AB260,1500)))</f>
        <v>0</v>
      </c>
      <c r="AC264" s="1"/>
      <c r="AD264" s="1"/>
      <c r="AE264" s="13"/>
    </row>
    <row r="265" spans="1:31" ht="16.5" hidden="1" customHeight="1" thickBot="1">
      <c r="B265" s="103"/>
      <c r="C265" s="252"/>
      <c r="D265" s="456"/>
      <c r="E265" s="457"/>
      <c r="F265" s="457"/>
      <c r="G265" s="457"/>
      <c r="H265" s="457"/>
      <c r="I265" s="457"/>
      <c r="J265" s="457"/>
      <c r="K265" s="457"/>
      <c r="L265" s="457"/>
      <c r="M265" s="457"/>
      <c r="N265" s="457"/>
      <c r="O265" s="458"/>
      <c r="P265" s="1"/>
      <c r="T265" s="14"/>
      <c r="U265" s="249"/>
      <c r="V265" s="249"/>
      <c r="W265" s="249"/>
      <c r="X265" s="249"/>
      <c r="Y265" s="249"/>
      <c r="Z265" s="1"/>
      <c r="AA265" s="1"/>
      <c r="AB265" s="1"/>
      <c r="AC265" s="1"/>
      <c r="AD265" s="1"/>
      <c r="AE265" s="13"/>
    </row>
    <row r="266" spans="1:31" ht="16.5" hidden="1" customHeight="1">
      <c r="B266" s="103"/>
      <c r="C266" s="170"/>
      <c r="D266" s="175"/>
      <c r="E266" s="175"/>
      <c r="F266" s="175"/>
      <c r="G266" s="175"/>
      <c r="H266" s="175"/>
      <c r="I266" s="175"/>
      <c r="J266" s="175"/>
      <c r="K266" s="175"/>
      <c r="L266" s="175"/>
      <c r="M266" s="175"/>
      <c r="N266" s="175"/>
      <c r="O266" s="175"/>
      <c r="P266" s="1"/>
      <c r="T266" s="14"/>
      <c r="U266" s="435"/>
      <c r="V266" s="435"/>
      <c r="W266" s="435"/>
      <c r="X266" s="435"/>
      <c r="Y266" s="435"/>
      <c r="Z266" s="1"/>
      <c r="AA266" s="1"/>
      <c r="AB266" s="1"/>
      <c r="AC266" s="1"/>
      <c r="AD266" s="1"/>
      <c r="AE266" s="13"/>
    </row>
    <row r="267" spans="1:31" ht="16.5" hidden="1" customHeight="1">
      <c r="B267" s="103"/>
      <c r="C267" s="252"/>
      <c r="D267" s="248"/>
      <c r="E267" s="248"/>
      <c r="F267" s="248"/>
      <c r="G267" s="248"/>
      <c r="H267" s="248"/>
      <c r="I267" s="248"/>
      <c r="J267" s="248"/>
      <c r="K267" s="248"/>
      <c r="L267" s="248"/>
      <c r="M267" s="248"/>
      <c r="N267" s="248"/>
      <c r="O267" s="248"/>
      <c r="P267" s="1"/>
      <c r="T267" s="14"/>
      <c r="U267" s="249"/>
      <c r="V267" s="249"/>
      <c r="W267" s="249"/>
      <c r="X267" s="249"/>
      <c r="Y267" s="249"/>
      <c r="Z267" s="1"/>
      <c r="AA267" s="1"/>
      <c r="AB267" s="1"/>
      <c r="AC267" s="1"/>
      <c r="AD267" s="1"/>
      <c r="AE267" s="13"/>
    </row>
    <row r="268" spans="1:31" ht="16.5" hidden="1" customHeight="1">
      <c r="B268" s="103"/>
      <c r="C268" s="469" t="s">
        <v>421</v>
      </c>
      <c r="D268" s="469"/>
      <c r="E268" s="469"/>
      <c r="F268" s="469"/>
      <c r="G268" s="469"/>
      <c r="H268" s="469"/>
      <c r="I268" s="469"/>
      <c r="J268" s="469"/>
      <c r="K268" s="469"/>
      <c r="L268" s="469"/>
      <c r="M268" s="469"/>
      <c r="N268" s="469"/>
      <c r="O268" s="469"/>
      <c r="P268" s="1"/>
      <c r="T268" s="14"/>
      <c r="U268" s="1"/>
      <c r="V268" s="1"/>
      <c r="W268" s="1"/>
      <c r="X268" s="1"/>
      <c r="Y268" s="1"/>
      <c r="Z268" s="1"/>
      <c r="AA268" s="1"/>
      <c r="AB268" s="1"/>
      <c r="AC268" s="1"/>
      <c r="AD268" s="1"/>
      <c r="AE268" s="13"/>
    </row>
    <row r="269" spans="1:31" ht="16.5" hidden="1" customHeight="1">
      <c r="B269" s="103"/>
      <c r="C269" s="469"/>
      <c r="D269" s="469"/>
      <c r="E269" s="469"/>
      <c r="F269" s="469"/>
      <c r="G269" s="469"/>
      <c r="H269" s="469"/>
      <c r="I269" s="469"/>
      <c r="J269" s="469"/>
      <c r="K269" s="469"/>
      <c r="L269" s="469"/>
      <c r="M269" s="469"/>
      <c r="N269" s="469"/>
      <c r="O269" s="469"/>
      <c r="P269" s="1"/>
      <c r="T269" s="14"/>
      <c r="U269" s="1"/>
      <c r="V269" s="1"/>
      <c r="W269" s="1"/>
      <c r="X269" s="1"/>
      <c r="Y269" s="1"/>
      <c r="Z269" s="1"/>
      <c r="AA269" s="1"/>
      <c r="AB269" s="1"/>
      <c r="AC269" s="1"/>
      <c r="AD269" s="1"/>
      <c r="AE269" s="13"/>
    </row>
    <row r="270" spans="1:31" ht="16.5" hidden="1" customHeight="1">
      <c r="B270" s="103"/>
      <c r="C270" s="469"/>
      <c r="D270" s="469"/>
      <c r="E270" s="469"/>
      <c r="F270" s="469"/>
      <c r="G270" s="469"/>
      <c r="H270" s="469"/>
      <c r="I270" s="469"/>
      <c r="J270" s="469"/>
      <c r="K270" s="469"/>
      <c r="L270" s="469"/>
      <c r="M270" s="469"/>
      <c r="N270" s="469"/>
      <c r="O270" s="469"/>
      <c r="P270" s="1"/>
      <c r="T270" s="14"/>
      <c r="U270" s="1"/>
      <c r="V270" s="1"/>
      <c r="W270" s="1"/>
      <c r="X270" s="1"/>
      <c r="Y270" s="1"/>
      <c r="Z270" s="1"/>
      <c r="AA270" s="1"/>
      <c r="AB270" s="1"/>
      <c r="AC270" s="1"/>
      <c r="AD270" s="1"/>
      <c r="AE270" s="13"/>
    </row>
    <row r="271" spans="1:31" ht="16.5" hidden="1" customHeight="1">
      <c r="B271" s="174"/>
      <c r="C271" s="469"/>
      <c r="D271" s="469"/>
      <c r="E271" s="469"/>
      <c r="F271" s="469"/>
      <c r="G271" s="469"/>
      <c r="H271" s="469"/>
      <c r="I271" s="469"/>
      <c r="J271" s="469"/>
      <c r="K271" s="469"/>
      <c r="L271" s="469"/>
      <c r="M271" s="469"/>
      <c r="N271" s="469"/>
      <c r="O271" s="469"/>
      <c r="P271" s="1"/>
      <c r="T271" s="14"/>
      <c r="U271" s="447" t="s">
        <v>82</v>
      </c>
      <c r="V271" s="447"/>
      <c r="W271" s="447"/>
      <c r="X271" s="447"/>
      <c r="Y271" s="447"/>
      <c r="Z271" s="68"/>
      <c r="AA271" s="1"/>
      <c r="AB271" s="1">
        <f>IFERROR(IF(AB241="Non",0,IF(AB244&gt;=0.5,IF(AB243&gt;Annexes!O5,Annexes!O5,ROUND(AB243,0)),0)),0)</f>
        <v>0</v>
      </c>
      <c r="AC271" s="1"/>
      <c r="AD271" s="1"/>
      <c r="AE271" s="13"/>
    </row>
    <row r="272" spans="1:31" ht="16.5" hidden="1" customHeight="1">
      <c r="B272" s="174"/>
      <c r="C272" s="252"/>
      <c r="D272" s="250"/>
      <c r="E272" s="465" t="str">
        <f>IF('Mon Entreprise'!K8&gt;Annexes!Q24,"",IF(OR(AB254="OUI",AND(OR(AB256="OUI",AB255="OUI"),OR(AB250&gt;=Annexes!P5,AB251&gt;=Annexes!P5,'Mes Aides'!AB145&gt;=0.1)),AB258=TRUE),"",IF(AND(OR(AB256="OUI",AB255="OUI"),OR(AB250&lt;Annexes!P5,AB251&lt;Annexes!P5,'Mes Aides'!AB145&lt;0.1)),"L'entreprise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2" s="465"/>
      <c r="G272" s="465"/>
      <c r="H272" s="465"/>
      <c r="I272" s="465"/>
      <c r="J272" s="465"/>
      <c r="K272" s="465"/>
      <c r="L272" s="465"/>
      <c r="M272" s="465"/>
      <c r="N272" s="465"/>
      <c r="O272" s="465"/>
      <c r="P272" s="1"/>
      <c r="T272" s="14"/>
      <c r="U272" s="447" t="s">
        <v>81</v>
      </c>
      <c r="V272" s="447"/>
      <c r="W272" s="447"/>
      <c r="X272" s="447"/>
      <c r="Y272" s="447"/>
      <c r="Z272" s="68"/>
      <c r="AA272" s="1"/>
      <c r="AB272" s="1">
        <f>IFERROR(IF('Mon Entreprise'!K8&gt;Annexes!Q26,0,IF(AB258=TRUE,IF(AB264&gt;Annexes!O6,Annexes!O6,ROUND(AB264,0)),IF(AB261&gt;=0.5,IF(OR(AB254="OUI",AND(OR(AB256="OUI",AB255="OUI"),OR(AB250&gt;=Annexes!P5,AB251&gt;=Annexes!P5,AB252&gt;=0.1))),IF(AB264&gt;Annexes!O6,Annexes!O6,ROUND(AB264,0)),IF(AND(OR(AB256="OUI",AB255="OUI"),OR(AB250&lt;Annexes!P5,AB251&lt;Annexes!P5)),0,0)),0))),0)</f>
        <v>0</v>
      </c>
      <c r="AC272" s="1"/>
      <c r="AD272" s="1"/>
      <c r="AE272" s="13"/>
    </row>
    <row r="273" spans="2:31" ht="15" hidden="1" customHeight="1">
      <c r="B273" s="174"/>
      <c r="C273" s="267"/>
      <c r="D273" s="266"/>
      <c r="E273" s="465"/>
      <c r="F273" s="465"/>
      <c r="G273" s="465"/>
      <c r="H273" s="465"/>
      <c r="I273" s="465"/>
      <c r="J273" s="465"/>
      <c r="K273" s="465"/>
      <c r="L273" s="465"/>
      <c r="M273" s="465"/>
      <c r="N273" s="465"/>
      <c r="O273" s="465"/>
      <c r="P273" s="1"/>
      <c r="T273" s="14"/>
      <c r="U273" s="447" t="s">
        <v>399</v>
      </c>
      <c r="V273" s="447"/>
      <c r="W273" s="447"/>
      <c r="X273" s="447"/>
      <c r="Y273" s="447"/>
      <c r="Z273" s="68"/>
      <c r="AA273" s="1"/>
      <c r="AB273" s="1">
        <f>IFERROR(IF('Mon Entreprise'!K8&gt;Annexes!Q26,0,IF(AB258=TRUE,IF(AB263=0,0,IF(AB260&lt;AB263*0.2,ROUND(AB260,0),IF(AB263*0.2&gt;=200000,Annexes!O8,ROUND(AB263*0.2,0)))),IF(OR(AB254="OUI",AND(AB255="OUI",OR(AB250&gt;=0.8,AB251&gt;=0.8,AB252&gt;=0.1))),IF(AB261&gt;=0.7,IF(AB260&lt;AB263*0.2,ROUND(AB260,0),IF(AB263*0.2&gt;=200000,Annexes!O8,ROUND(AB263*0.2,0))),IF(AB261&gt;=0.5,IF(AB260&lt;AB263*0.15,ROUND(AB260,0),IF(AB263*0.15&gt;=200000,Annexes!O8,ROUND(AB263*0.15,0))),IF(AND(AB256="OUI",OR(AB250&gt;=0.8,AB251&gt;=0.8,AB252&gt;=0.1),AB261&gt;=0.7),IF(AB260&lt;AB263*0.2,ROUND(AB260,0),IF(AB263*0.2&gt;=200000,Annexes!O8,ROUND(AB263*0.2,0))),0))),IF(AND(AB256="OUI",OR(AB250&gt;=0.8,AB251&gt;=0.8,AB252&gt;=0.1),AB261&gt;=0.7),IF(AB260&lt;AB263*0.2,ROUND(AB260,0),IF(AB263*0.2&gt;=200000,Annexes!O8,ROUND(AB263*0.2,0))),0)))),0)</f>
        <v>0</v>
      </c>
      <c r="AC273" s="1"/>
      <c r="AD273" s="1"/>
      <c r="AE273" s="13"/>
    </row>
    <row r="274" spans="2:31" ht="15" hidden="1" customHeight="1">
      <c r="B274" s="174"/>
      <c r="C274" s="252"/>
      <c r="D274" s="250"/>
      <c r="E274" s="465"/>
      <c r="F274" s="465"/>
      <c r="G274" s="465"/>
      <c r="H274" s="465"/>
      <c r="I274" s="465"/>
      <c r="J274" s="465"/>
      <c r="K274" s="465"/>
      <c r="L274" s="465"/>
      <c r="M274" s="465"/>
      <c r="N274" s="465"/>
      <c r="O274" s="465"/>
      <c r="P274" s="1"/>
      <c r="T274" s="14"/>
      <c r="U274" s="1"/>
      <c r="V274" s="1"/>
      <c r="W274" s="1"/>
      <c r="X274" s="1"/>
      <c r="Y274" s="1"/>
      <c r="Z274" s="1"/>
      <c r="AA274" s="1"/>
      <c r="AB274" s="1"/>
      <c r="AC274" s="1"/>
      <c r="AD274" s="1"/>
      <c r="AE274" s="13"/>
    </row>
    <row r="275" spans="2:31" ht="16.5" hidden="1" customHeight="1">
      <c r="B275" s="174"/>
      <c r="C275" s="252"/>
      <c r="D275" s="359"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75" s="359"/>
      <c r="F275" s="359"/>
      <c r="G275" s="359"/>
      <c r="H275" s="359"/>
      <c r="I275" s="359"/>
      <c r="J275" s="359"/>
      <c r="K275" s="359"/>
      <c r="L275" s="359"/>
      <c r="M275" s="359"/>
      <c r="N275" s="359"/>
      <c r="O275" s="359"/>
      <c r="P275" s="248"/>
      <c r="Q275" s="248"/>
      <c r="T275" s="14"/>
      <c r="U275" s="1"/>
      <c r="V275" s="1"/>
      <c r="W275" s="1"/>
      <c r="X275" s="1"/>
      <c r="Y275" s="1"/>
      <c r="Z275" s="1"/>
      <c r="AA275" s="1"/>
      <c r="AB275" s="1"/>
      <c r="AC275" s="1"/>
      <c r="AD275" s="1"/>
      <c r="AE275" s="13"/>
    </row>
    <row r="276" spans="2:31" ht="16.5" hidden="1" customHeight="1">
      <c r="B276" s="103"/>
      <c r="C276" s="252"/>
      <c r="D276" s="465" t="str">
        <f>IF(AB258=TRUE,"- L'entreprise peut bénéficier d'une aide de 20 % du CA de référence, plafonnée à 200 000 €",IF(OR(AB254="OUI",AND(AB255="OUI",OR(AB250&gt;=0.8,AB251&gt;=0.8,AB252&gt;=0.1))),IF(AB261&gt;=0.7,"- L'entreprise peut bénéficier d'une aide de 20 % du CA de référence, plafonnée à 200 000 €",IF(AB261&gt;=0.5,"- L'entreprise peut bénéficier d'une aide de 15 % du CA de référence, plafonnée à 200 000 €","- L'entreprise n'a subi ni de fermeture administrative avec une perte de 20 % de CA au mois de Février, ni de perte d'au moins 50 % de son CA")),IF(AND(AB256="OUI",OR(AB250&gt;=0.8,AB251&gt;=0.8,AB252&gt;=0.1),AB261&gt;=0.5),"-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6" s="465"/>
      <c r="F276" s="465"/>
      <c r="G276" s="465"/>
      <c r="H276" s="465"/>
      <c r="I276" s="465"/>
      <c r="J276" s="465"/>
      <c r="K276" s="465"/>
      <c r="L276" s="465"/>
      <c r="M276" s="465"/>
      <c r="N276" s="465"/>
      <c r="O276" s="465"/>
      <c r="P276" s="248"/>
      <c r="Q276" s="248"/>
      <c r="T276" s="14"/>
      <c r="U276" s="1"/>
      <c r="V276" s="1"/>
      <c r="W276" s="1"/>
      <c r="X276" s="1"/>
      <c r="Y276" s="1"/>
      <c r="Z276" s="1"/>
      <c r="AA276" s="1"/>
      <c r="AB276" s="1"/>
      <c r="AC276" s="1"/>
      <c r="AD276" s="1"/>
      <c r="AE276" s="13"/>
    </row>
    <row r="277" spans="2:31" ht="16.5" hidden="1" customHeight="1">
      <c r="B277" s="169"/>
      <c r="C277" s="252"/>
      <c r="D277" s="465"/>
      <c r="E277" s="465"/>
      <c r="F277" s="465"/>
      <c r="G277" s="465"/>
      <c r="H277" s="465"/>
      <c r="I277" s="465"/>
      <c r="J277" s="465"/>
      <c r="K277" s="465"/>
      <c r="L277" s="465"/>
      <c r="M277" s="465"/>
      <c r="N277" s="465"/>
      <c r="O277" s="465"/>
      <c r="P277" s="248"/>
      <c r="Q277" s="248"/>
      <c r="T277" s="14"/>
      <c r="U277" s="1"/>
      <c r="V277" s="1"/>
      <c r="W277" s="1"/>
      <c r="X277" s="1"/>
      <c r="Y277" s="1"/>
      <c r="Z277" s="1"/>
      <c r="AA277" s="1"/>
      <c r="AB277" s="1"/>
      <c r="AC277" s="1"/>
      <c r="AD277" s="1"/>
      <c r="AE277" s="13"/>
    </row>
    <row r="278" spans="2:31" ht="16.5" hidden="1" customHeight="1" thickBot="1">
      <c r="B278" s="169"/>
      <c r="C278" s="252"/>
      <c r="D278" s="206"/>
      <c r="E278" s="248"/>
      <c r="F278" s="248"/>
      <c r="G278" s="248"/>
      <c r="H278" s="248"/>
      <c r="I278" s="248"/>
      <c r="J278" s="248"/>
      <c r="K278" s="248"/>
      <c r="L278" s="248"/>
      <c r="M278" s="248"/>
      <c r="N278" s="248"/>
      <c r="O278" s="248"/>
      <c r="P278" s="248"/>
      <c r="Q278" s="248"/>
      <c r="T278" s="14"/>
      <c r="U278" s="1"/>
      <c r="V278" s="1"/>
      <c r="W278" s="1"/>
      <c r="X278" s="1"/>
      <c r="Y278" s="1"/>
      <c r="Z278" s="1"/>
      <c r="AA278" s="1"/>
      <c r="AB278" s="1"/>
      <c r="AC278" s="1"/>
      <c r="AD278" s="1"/>
      <c r="AE278" s="13"/>
    </row>
    <row r="279" spans="2:31" ht="16.5" hidden="1" customHeight="1">
      <c r="B279" s="103"/>
      <c r="C279" s="181"/>
      <c r="D279" s="468" t="str">
        <f>IFERROR(IF('Mon Entreprise'!K8&gt;Annexes!Q26,"Vous avez débuté votre activité après le 31 Octobre 2020, vous ne pouvez donc pas bénéficier de cette aide",IF(AB258=TRUE,IF(AB263=0,"Vous n'avez pas indiqué de chiffre d'affaires de référence",IF(AB260&lt;AB263*0.2,"Dans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Février"))),IF(OR(AB254="OUI",AND(AB255="OUI",OR(AB250&gt;=0.8,AB251&gt;=0.8,AB252&gt;=0.1))),IF(AB261&gt;=0.7,IF(AB260&lt;AB263*0.2,"Dans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Février")),IF(AB261&gt;=0.5,IF(AB260&lt;AB263*0.15,"Dans votre cas, la perte est inférieure à 15 % du CA, l'aide est donc plafonnée à la perte, soit "&amp;ROUND(AB260,0)&amp;" € pour le mois de Février",IF(AB263*0.15&gt;=200000,"Dans votre cas, l'aide est plafonnée, à "&amp;Annexes!O8&amp;" € pour le mois de Février","Vous pouvez bénéficier, au titre de cette aide, d'un montant de "&amp;ROUND(AB263*0.15,0)&amp;" € pour le mois de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79" s="451"/>
      <c r="F279" s="451"/>
      <c r="G279" s="451"/>
      <c r="H279" s="451"/>
      <c r="I279" s="451"/>
      <c r="J279" s="451"/>
      <c r="K279" s="451"/>
      <c r="L279" s="451"/>
      <c r="M279" s="451"/>
      <c r="N279" s="451"/>
      <c r="O279" s="452"/>
      <c r="P279" s="248"/>
      <c r="Q279" s="248"/>
      <c r="T279" s="14"/>
      <c r="U279" s="1"/>
      <c r="V279" s="1"/>
      <c r="W279" s="1"/>
      <c r="X279" s="1"/>
      <c r="Y279" s="1"/>
      <c r="Z279" s="1"/>
      <c r="AA279" s="1"/>
      <c r="AB279" s="1"/>
      <c r="AC279" s="1"/>
      <c r="AD279" s="1"/>
      <c r="AE279" s="13"/>
    </row>
    <row r="280" spans="2:31" ht="16.5" hidden="1" customHeight="1">
      <c r="B280" s="103"/>
      <c r="C280" s="181"/>
      <c r="D280" s="453"/>
      <c r="E280" s="454"/>
      <c r="F280" s="454"/>
      <c r="G280" s="454"/>
      <c r="H280" s="454"/>
      <c r="I280" s="454"/>
      <c r="J280" s="454"/>
      <c r="K280" s="454"/>
      <c r="L280" s="454"/>
      <c r="M280" s="454"/>
      <c r="N280" s="454"/>
      <c r="O280" s="455"/>
      <c r="P280" s="248"/>
      <c r="Q280" s="248"/>
      <c r="T280" s="14"/>
      <c r="U280" s="1"/>
      <c r="V280" s="1"/>
      <c r="W280" s="1"/>
      <c r="X280" s="1"/>
      <c r="Y280" s="1"/>
      <c r="Z280" s="1"/>
      <c r="AA280" s="1"/>
      <c r="AB280" s="1"/>
      <c r="AC280" s="1"/>
      <c r="AD280" s="1"/>
      <c r="AE280" s="13"/>
    </row>
    <row r="281" spans="2:31" ht="16.5" hidden="1" customHeight="1">
      <c r="B281" s="103"/>
      <c r="C281" s="181"/>
      <c r="D281" s="453"/>
      <c r="E281" s="454"/>
      <c r="F281" s="454"/>
      <c r="G281" s="454"/>
      <c r="H281" s="454"/>
      <c r="I281" s="454"/>
      <c r="J281" s="454"/>
      <c r="K281" s="454"/>
      <c r="L281" s="454"/>
      <c r="M281" s="454"/>
      <c r="N281" s="454"/>
      <c r="O281" s="455"/>
      <c r="P281" s="176"/>
      <c r="Q281" s="176"/>
      <c r="T281" s="14"/>
      <c r="U281" s="1"/>
      <c r="V281" s="1"/>
      <c r="W281" s="1"/>
      <c r="X281" s="1"/>
      <c r="Y281" s="1"/>
      <c r="Z281" s="1"/>
      <c r="AA281" s="1"/>
      <c r="AB281" s="1"/>
      <c r="AC281" s="1"/>
      <c r="AD281" s="1"/>
      <c r="AE281" s="13"/>
    </row>
    <row r="282" spans="2:31" ht="16.5" hidden="1" customHeight="1" thickBot="1">
      <c r="B282" s="103"/>
      <c r="C282" s="181"/>
      <c r="D282" s="456"/>
      <c r="E282" s="457"/>
      <c r="F282" s="457"/>
      <c r="G282" s="457"/>
      <c r="H282" s="457"/>
      <c r="I282" s="457"/>
      <c r="J282" s="457"/>
      <c r="K282" s="457"/>
      <c r="L282" s="457"/>
      <c r="M282" s="457"/>
      <c r="N282" s="457"/>
      <c r="O282" s="458"/>
      <c r="T282" s="14"/>
      <c r="U282" s="1"/>
      <c r="V282" s="1"/>
      <c r="W282" s="1"/>
      <c r="X282" s="1"/>
      <c r="Y282" s="1"/>
      <c r="Z282" s="1"/>
      <c r="AA282" s="1"/>
      <c r="AB282" s="1"/>
      <c r="AC282" s="1"/>
      <c r="AD282" s="1"/>
      <c r="AE282" s="13"/>
    </row>
    <row r="283" spans="2:31" ht="16.5" hidden="1" customHeight="1">
      <c r="B283" s="5"/>
      <c r="C283" s="5"/>
      <c r="D283" s="255"/>
      <c r="E283" s="255"/>
      <c r="F283" s="255"/>
      <c r="G283" s="255"/>
      <c r="H283" s="255"/>
      <c r="I283" s="255"/>
      <c r="J283" s="255"/>
      <c r="K283" s="255"/>
      <c r="L283" s="255"/>
      <c r="M283" s="255"/>
      <c r="N283" s="255"/>
      <c r="O283" s="255"/>
      <c r="P283" s="178"/>
      <c r="Q283" s="178"/>
      <c r="T283" s="14"/>
      <c r="U283" s="1"/>
      <c r="V283" s="1"/>
      <c r="W283" s="1"/>
      <c r="X283" s="1"/>
      <c r="Y283" s="1"/>
      <c r="Z283" s="1"/>
      <c r="AA283" s="1"/>
      <c r="AB283" s="1"/>
      <c r="AC283" s="1"/>
      <c r="AD283" s="1"/>
      <c r="AE283" s="13"/>
    </row>
    <row r="284" spans="2:31" hidden="1">
      <c r="B284" s="5"/>
      <c r="C284" s="5"/>
      <c r="D284" s="255"/>
      <c r="E284" s="255"/>
      <c r="F284" s="255"/>
      <c r="G284" s="255"/>
      <c r="H284" s="255"/>
      <c r="I284" s="255"/>
      <c r="J284" s="255"/>
      <c r="K284" s="255"/>
      <c r="L284" s="255"/>
      <c r="M284" s="255"/>
      <c r="N284" s="255"/>
      <c r="O284" s="255"/>
      <c r="P284" s="178"/>
      <c r="Q284" s="178"/>
      <c r="T284" s="14"/>
      <c r="U284" s="1"/>
      <c r="V284" s="1"/>
      <c r="W284" s="1"/>
      <c r="X284" s="1"/>
      <c r="Y284" s="1"/>
      <c r="Z284" s="1"/>
      <c r="AA284" s="1"/>
      <c r="AB284" s="1"/>
      <c r="AC284" s="1"/>
      <c r="AD284" s="1"/>
      <c r="AE284" s="13"/>
    </row>
    <row r="285" spans="2:31">
      <c r="B285" s="5"/>
      <c r="C285" s="5"/>
      <c r="D285" s="255"/>
      <c r="E285" s="255"/>
      <c r="F285" s="255"/>
      <c r="G285" s="255"/>
      <c r="H285" s="255"/>
      <c r="I285" s="255"/>
      <c r="J285" s="255"/>
      <c r="K285" s="255"/>
      <c r="L285" s="255"/>
      <c r="M285" s="255"/>
      <c r="N285" s="255"/>
      <c r="O285" s="255"/>
      <c r="P285" s="178"/>
      <c r="Q285" s="178"/>
      <c r="T285" s="15"/>
      <c r="U285" s="10"/>
      <c r="V285" s="10"/>
      <c r="W285" s="10"/>
      <c r="X285" s="10"/>
      <c r="Y285" s="10"/>
      <c r="Z285" s="10"/>
      <c r="AA285" s="10"/>
      <c r="AB285" s="10"/>
      <c r="AC285" s="10"/>
      <c r="AD285" s="10"/>
      <c r="AE285" s="4"/>
    </row>
    <row r="286" spans="2:31" ht="16.5" thickBot="1">
      <c r="B286" s="221"/>
      <c r="C286" s="433" t="s">
        <v>382</v>
      </c>
      <c r="D286" s="433"/>
      <c r="E286" s="433"/>
      <c r="F286" s="433"/>
      <c r="G286" s="433"/>
      <c r="H286" s="433"/>
      <c r="I286" s="222"/>
      <c r="J286" s="222"/>
      <c r="K286" s="222"/>
      <c r="L286" s="222"/>
      <c r="M286" s="222"/>
      <c r="N286" s="222"/>
      <c r="O286" s="222"/>
      <c r="T286" s="16"/>
      <c r="U286" s="11"/>
      <c r="V286" s="11"/>
      <c r="W286" s="11"/>
      <c r="X286" s="11"/>
      <c r="Y286" s="11"/>
      <c r="Z286" s="11"/>
      <c r="AA286" s="11"/>
      <c r="AB286" s="11"/>
      <c r="AC286" s="11"/>
      <c r="AD286" s="11"/>
      <c r="AE286" s="12"/>
    </row>
    <row r="287" spans="2:31" ht="15" customHeight="1">
      <c r="B287" s="63"/>
      <c r="C287" s="24"/>
      <c r="D287" s="24"/>
      <c r="E287" s="24"/>
      <c r="F287" s="24"/>
      <c r="G287" s="24"/>
      <c r="H287" s="63"/>
      <c r="I287" s="1"/>
      <c r="J287" s="1"/>
      <c r="K287" s="1"/>
      <c r="L287" s="1"/>
      <c r="M287" s="1"/>
      <c r="N287" s="1"/>
      <c r="O287" s="1"/>
      <c r="T287" s="14"/>
      <c r="U287" s="1"/>
      <c r="V287" s="1"/>
      <c r="W287" s="1"/>
      <c r="X287" s="1"/>
      <c r="Y287" s="1"/>
      <c r="Z287" s="1"/>
      <c r="AA287" s="1"/>
      <c r="AB287" s="1"/>
      <c r="AC287" s="1"/>
      <c r="AD287" s="1"/>
      <c r="AE287" s="13"/>
    </row>
    <row r="288" spans="2:31" ht="15" hidden="1" customHeight="1">
      <c r="B288" s="103"/>
      <c r="C288" s="434" t="s">
        <v>390</v>
      </c>
      <c r="D288" s="434"/>
      <c r="E288" s="434"/>
      <c r="F288" s="434"/>
      <c r="G288" s="434"/>
      <c r="H288" s="434"/>
      <c r="I288" s="434"/>
      <c r="J288" s="434"/>
      <c r="K288" s="434"/>
      <c r="L288" s="434"/>
      <c r="M288" s="434"/>
      <c r="N288" s="434"/>
      <c r="O288" s="434"/>
      <c r="P288" s="1"/>
      <c r="T288" s="25"/>
      <c r="U288" s="435" t="s">
        <v>20</v>
      </c>
      <c r="V288" s="435"/>
      <c r="W288" s="435"/>
      <c r="X288" s="1"/>
      <c r="Y288" s="276" t="s">
        <v>6</v>
      </c>
      <c r="Z288" s="276"/>
      <c r="AA288" s="276"/>
      <c r="AB288" s="276" t="s">
        <v>23</v>
      </c>
      <c r="AC288" s="276"/>
      <c r="AD288" s="276"/>
      <c r="AE288" s="26" t="s">
        <v>24</v>
      </c>
    </row>
    <row r="289" spans="2:31" ht="15.75" hidden="1" customHeight="1">
      <c r="B289" s="103"/>
      <c r="C289" s="275"/>
      <c r="D289" s="60" t="s">
        <v>383</v>
      </c>
      <c r="E289" s="275"/>
      <c r="F289" s="275"/>
      <c r="G289" s="275"/>
      <c r="H289" s="275"/>
      <c r="I289" s="275"/>
      <c r="J289" s="275"/>
      <c r="K289" s="275"/>
      <c r="L289" s="275"/>
      <c r="M289" s="275"/>
      <c r="N289" s="275"/>
      <c r="O289" s="275"/>
      <c r="P289" s="1"/>
      <c r="T289" s="25"/>
      <c r="U289" s="276"/>
      <c r="V289" s="276"/>
      <c r="W289" s="276"/>
      <c r="X289" s="1"/>
      <c r="Y289" s="276"/>
      <c r="Z289" s="276"/>
      <c r="AA289" s="276"/>
      <c r="AB289" s="276"/>
      <c r="AC289" s="276"/>
      <c r="AD289" s="276"/>
      <c r="AE289" s="26"/>
    </row>
    <row r="290" spans="2:31" ht="16.5" thickBot="1">
      <c r="B290" s="103"/>
      <c r="C290" s="275"/>
      <c r="D290" s="60"/>
      <c r="E290" s="275"/>
      <c r="F290" s="275"/>
      <c r="G290" s="275"/>
      <c r="H290" s="275"/>
      <c r="I290" s="275"/>
      <c r="J290" s="275"/>
      <c r="K290" s="275"/>
      <c r="L290" s="275"/>
      <c r="M290" s="275"/>
      <c r="N290" s="275"/>
      <c r="O290" s="275"/>
      <c r="P290" s="1"/>
      <c r="T290" s="436" t="s">
        <v>386</v>
      </c>
      <c r="U290" s="435"/>
      <c r="V290" s="435"/>
      <c r="W290" s="435"/>
      <c r="X290" s="1"/>
      <c r="Y290" s="7">
        <f>'Mon Entreprise'!I101</f>
        <v>0</v>
      </c>
      <c r="Z290" s="133"/>
      <c r="AA290" s="21"/>
      <c r="AB290" s="7">
        <f>IF('Mon Entreprise'!I101-'Mon Entreprise'!M101&lt;0,0,'Mon Entreprise'!I101-'Mon Entreprise'!M101)</f>
        <v>0</v>
      </c>
      <c r="AC290" s="13"/>
      <c r="AD290" s="1"/>
      <c r="AE290" s="27">
        <f>IFERROR(1-'Mon Entreprise'!M101/'Mon Entreprise'!I101,0)</f>
        <v>0</v>
      </c>
    </row>
    <row r="291" spans="2:31" ht="15.75">
      <c r="B291" s="103"/>
      <c r="C291" s="275"/>
      <c r="D291" s="437" t="str">
        <f>IFERROR(IF(AND(AB334=0,AB335=0,AB336=0),"Vous ne pouvez pas bénéficier du fonds de solidarité pour le mois de Mars 2021",IF(AND(AB336&gt;AB335,AB336&gt;AB334),"Votre entreprise peut bénéficier d'une aide de "&amp;AB336&amp;"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d'outre-mer",IF(AB335&gt;AB334,"Votre entreprise peut bénéficier d'une aide de "&amp;AB335&amp;"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"&amp;AB334&amp;" €, au titre d'une perte d'au-moins 50 % de votre CA en Mars 2021"))),"Vous n'avez pas indiqué de chiffre d'affaires de référence")</f>
        <v>Vous ne pouvez pas bénéficier du fonds de solidarité pour le mois de Mars 2021</v>
      </c>
      <c r="E291" s="438"/>
      <c r="F291" s="438"/>
      <c r="G291" s="438"/>
      <c r="H291" s="438"/>
      <c r="I291" s="438"/>
      <c r="J291" s="438"/>
      <c r="K291" s="438"/>
      <c r="L291" s="438"/>
      <c r="M291" s="438"/>
      <c r="N291" s="438"/>
      <c r="O291" s="439"/>
      <c r="P291" s="1"/>
      <c r="T291" s="436" t="s">
        <v>25</v>
      </c>
      <c r="U291" s="435"/>
      <c r="V291" s="435"/>
      <c r="W291" s="435"/>
      <c r="X291" s="1"/>
      <c r="Y291" s="7">
        <f>'Mon Entreprise'!I73</f>
        <v>0</v>
      </c>
      <c r="Z291" s="133"/>
      <c r="AA291" s="21"/>
      <c r="AB291" s="7">
        <f>IF('Mon Entreprise'!I73-'Mon Entreprise'!M101&lt;0,0,'Mon Entreprise'!I73-'Mon Entreprise'!M101)</f>
        <v>0</v>
      </c>
      <c r="AC291" s="36"/>
      <c r="AD291" s="1"/>
      <c r="AE291" s="27">
        <f>IFERROR(1-'Mon Entreprise'!M101/'Mon Entreprise'!I73,0)</f>
        <v>0</v>
      </c>
    </row>
    <row r="292" spans="2:31" ht="15.75" customHeight="1">
      <c r="B292" s="103"/>
      <c r="C292" s="275"/>
      <c r="D292" s="440"/>
      <c r="E292" s="441"/>
      <c r="F292" s="441"/>
      <c r="G292" s="441"/>
      <c r="H292" s="441"/>
      <c r="I292" s="441"/>
      <c r="J292" s="441"/>
      <c r="K292" s="441"/>
      <c r="L292" s="441"/>
      <c r="M292" s="441"/>
      <c r="N292" s="441"/>
      <c r="O292" s="442"/>
      <c r="P292" s="1"/>
      <c r="T292" s="446" t="s">
        <v>22</v>
      </c>
      <c r="U292" s="447"/>
      <c r="V292" s="447"/>
      <c r="W292" s="447"/>
      <c r="X292" s="139"/>
      <c r="Y292" s="140" t="str">
        <f>IF('Mon Entreprise'!I118="","NC",'Mon Entreprise'!I118)</f>
        <v>NC</v>
      </c>
      <c r="Z292" s="192"/>
      <c r="AA292" s="193"/>
      <c r="AB292" s="143" t="str">
        <f>IFERROR(IF('Mon Entreprise'!I118-'Mon Entreprise'!M101&lt;0,0,'Mon Entreprise'!I118-'Mon Entreprise'!M101),"NC")</f>
        <v>NC</v>
      </c>
      <c r="AC292" s="194"/>
      <c r="AD292" s="139"/>
      <c r="AE292" s="146" t="str">
        <f>IFERROR(1-'Mon Entreprise'!M101/'Mon Entreprise'!I118,"NC")</f>
        <v>NC</v>
      </c>
    </row>
    <row r="293" spans="2:31" ht="15.75" customHeight="1">
      <c r="B293" s="103"/>
      <c r="C293" s="304"/>
      <c r="D293" s="440"/>
      <c r="E293" s="441"/>
      <c r="F293" s="441"/>
      <c r="G293" s="441"/>
      <c r="H293" s="441"/>
      <c r="I293" s="441"/>
      <c r="J293" s="441"/>
      <c r="K293" s="441"/>
      <c r="L293" s="441"/>
      <c r="M293" s="441"/>
      <c r="N293" s="441"/>
      <c r="O293" s="442"/>
      <c r="P293" s="1"/>
      <c r="T293" s="305"/>
      <c r="U293" s="306"/>
      <c r="V293" s="306"/>
      <c r="W293" s="306"/>
      <c r="X293" s="139"/>
      <c r="Y293" s="140"/>
      <c r="Z293" s="141"/>
      <c r="AA293" s="193"/>
      <c r="AB293" s="143"/>
      <c r="AC293" s="306"/>
      <c r="AD293" s="139"/>
      <c r="AE293" s="146"/>
    </row>
    <row r="294" spans="2:31" ht="15.75" customHeight="1">
      <c r="B294" s="103"/>
      <c r="C294" s="275"/>
      <c r="D294" s="440"/>
      <c r="E294" s="441"/>
      <c r="F294" s="441"/>
      <c r="G294" s="441"/>
      <c r="H294" s="441"/>
      <c r="I294" s="441"/>
      <c r="J294" s="441"/>
      <c r="K294" s="441"/>
      <c r="L294" s="441"/>
      <c r="M294" s="441"/>
      <c r="N294" s="441"/>
      <c r="O294" s="442"/>
      <c r="P294" s="1"/>
      <c r="T294" s="14"/>
      <c r="U294" s="1"/>
      <c r="V294" s="1"/>
      <c r="W294" s="1"/>
      <c r="X294" s="1"/>
      <c r="Y294" s="1"/>
      <c r="Z294" s="1"/>
      <c r="AA294" s="1"/>
      <c r="AB294" s="1"/>
      <c r="AC294" s="1"/>
      <c r="AD294" s="1"/>
      <c r="AE294" s="13"/>
    </row>
    <row r="295" spans="2:31" ht="15.75" customHeight="1">
      <c r="B295" s="103"/>
      <c r="C295" s="275"/>
      <c r="D295" s="440"/>
      <c r="E295" s="441"/>
      <c r="F295" s="441"/>
      <c r="G295" s="441"/>
      <c r="H295" s="441"/>
      <c r="I295" s="441"/>
      <c r="J295" s="441"/>
      <c r="K295" s="441"/>
      <c r="L295" s="441"/>
      <c r="M295" s="441"/>
      <c r="N295" s="441"/>
      <c r="O295" s="442"/>
      <c r="P295" s="1"/>
      <c r="T295" s="14"/>
      <c r="AC295" s="1"/>
      <c r="AD295" s="1"/>
      <c r="AE295" s="13"/>
    </row>
    <row r="296" spans="2:31" ht="15.75" customHeight="1" thickBot="1">
      <c r="B296" s="103"/>
      <c r="C296" s="275"/>
      <c r="D296" s="443"/>
      <c r="E296" s="444"/>
      <c r="F296" s="444"/>
      <c r="G296" s="444"/>
      <c r="H296" s="444"/>
      <c r="I296" s="444"/>
      <c r="J296" s="444"/>
      <c r="K296" s="444"/>
      <c r="L296" s="444"/>
      <c r="M296" s="444"/>
      <c r="N296" s="444"/>
      <c r="O296" s="445"/>
      <c r="P296" s="1"/>
      <c r="T296" s="14"/>
      <c r="AC296" s="1"/>
      <c r="AD296" s="1"/>
      <c r="AE296" s="13"/>
    </row>
    <row r="297" spans="2:31" ht="16.5" customHeight="1">
      <c r="B297" s="103"/>
      <c r="C297" s="275"/>
      <c r="D297" s="314" t="s">
        <v>397</v>
      </c>
      <c r="E297" s="275"/>
      <c r="F297" s="275"/>
      <c r="G297" s="275"/>
      <c r="H297" s="275"/>
      <c r="I297" s="275"/>
      <c r="J297" s="275"/>
      <c r="K297" s="275"/>
      <c r="L297" s="275"/>
      <c r="M297" s="275"/>
      <c r="N297" s="275"/>
      <c r="O297" s="275"/>
      <c r="P297" s="1"/>
      <c r="T297" s="14"/>
      <c r="AC297" s="1"/>
      <c r="AD297" s="1"/>
      <c r="AE297" s="13"/>
    </row>
    <row r="298" spans="2:31" ht="15.75" hidden="1">
      <c r="B298" s="103"/>
      <c r="C298" s="78"/>
      <c r="D298" s="78"/>
      <c r="E298" s="78"/>
      <c r="F298" s="78"/>
      <c r="G298" s="78"/>
      <c r="H298" s="78"/>
      <c r="I298" s="78"/>
      <c r="J298" s="78"/>
      <c r="K298" s="78"/>
      <c r="L298" s="78"/>
      <c r="M298" s="78"/>
      <c r="N298" s="78"/>
      <c r="O298" s="78"/>
      <c r="P298" s="1"/>
      <c r="T298" s="14"/>
      <c r="U298" s="1"/>
      <c r="V298" s="1"/>
      <c r="W298" s="1"/>
      <c r="X298" s="1"/>
      <c r="Y298" s="1"/>
      <c r="Z298" s="1"/>
      <c r="AA298" s="1"/>
      <c r="AB298" s="1"/>
      <c r="AC298" s="1"/>
      <c r="AD298" s="1"/>
      <c r="AE298" s="13"/>
    </row>
    <row r="299" spans="2:31" ht="15.75" hidden="1">
      <c r="B299" s="103"/>
      <c r="C299" s="275"/>
      <c r="D299" s="60"/>
      <c r="E299" s="275"/>
      <c r="F299" s="275"/>
      <c r="G299" s="275"/>
      <c r="H299" s="275"/>
      <c r="I299" s="275"/>
      <c r="J299" s="275"/>
      <c r="K299" s="275"/>
      <c r="L299" s="275"/>
      <c r="M299" s="275"/>
      <c r="N299" s="275"/>
      <c r="O299" s="275"/>
      <c r="P299" s="1"/>
      <c r="T299" s="14"/>
      <c r="U299" s="1"/>
      <c r="V299" s="1"/>
      <c r="W299" s="1"/>
      <c r="X299" s="1"/>
      <c r="Y299" s="1"/>
      <c r="Z299" s="1"/>
      <c r="AA299" s="1"/>
      <c r="AB299" s="1"/>
      <c r="AC299" s="1"/>
      <c r="AD299" s="1"/>
      <c r="AE299" s="13"/>
    </row>
    <row r="300" spans="2:31" ht="15.75" hidden="1">
      <c r="B300" s="103"/>
      <c r="C300" s="275" t="s">
        <v>391</v>
      </c>
      <c r="D300" s="60"/>
      <c r="E300" s="275"/>
      <c r="F300" s="275"/>
      <c r="G300" s="275"/>
      <c r="H300" s="275"/>
      <c r="I300" s="275"/>
      <c r="J300" s="275"/>
      <c r="K300" s="275"/>
      <c r="L300" s="275"/>
      <c r="M300" s="275"/>
      <c r="N300" s="275"/>
      <c r="O300" s="275"/>
      <c r="P300" s="1"/>
      <c r="T300" s="14"/>
      <c r="U300" s="1"/>
      <c r="V300" s="1"/>
      <c r="W300" s="1"/>
      <c r="X300" s="1"/>
      <c r="Y300" s="1"/>
      <c r="Z300" s="1"/>
      <c r="AA300" s="1"/>
      <c r="AB300" s="1"/>
      <c r="AC300" s="1"/>
      <c r="AD300" s="1"/>
      <c r="AE300" s="13"/>
    </row>
    <row r="301" spans="2:31" ht="15.75" hidden="1">
      <c r="B301" s="103"/>
      <c r="C301" s="292" t="s">
        <v>392</v>
      </c>
      <c r="D301" s="60"/>
      <c r="E301" s="297"/>
      <c r="F301" s="297"/>
      <c r="G301" s="297"/>
      <c r="H301" s="297"/>
      <c r="I301" s="297"/>
      <c r="J301" s="297"/>
      <c r="K301" s="297"/>
      <c r="L301" s="297"/>
      <c r="M301" s="297"/>
      <c r="N301" s="297"/>
      <c r="O301" s="297"/>
      <c r="P301" s="1"/>
      <c r="T301" s="14"/>
      <c r="U301" s="448" t="s">
        <v>72</v>
      </c>
      <c r="V301" s="448"/>
      <c r="W301" s="448"/>
      <c r="X301" s="448"/>
      <c r="Y301" s="448"/>
      <c r="Z301" s="1"/>
      <c r="AA301" s="14"/>
      <c r="AB301" s="272" t="str">
        <f>IF('Mon Entreprise'!K8&lt;=Annexes!Q29,"Oui","Non")</f>
        <v>Oui</v>
      </c>
      <c r="AC301" s="1"/>
      <c r="AD301" s="1"/>
      <c r="AE301" s="13"/>
    </row>
    <row r="302" spans="2:31" ht="15.75" hidden="1">
      <c r="B302" s="169"/>
      <c r="C302" s="275"/>
      <c r="D302" s="60" t="str">
        <f>IFERROR(IF('Mon Entreprise'!K8&gt;=Annexes!O20,IF(AB290&gt;=AB292,"Le CA de référence est celui de Mars 2019, soit une perte de "&amp;ROUND(AB290,0)&amp;" €"&amp;" ==&gt; "&amp;ROUND(AE290*100,0)&amp;" %","Le CA de référence est celui de la création, soit une perte de "&amp;ROUND(AB292,0)&amp;" €"&amp;" ==&gt; "&amp;ROUND(AE292*100,0)&amp;" %"),IF(AB290&gt;=AB291,"Le CA de référence est celui de Mars 2019, soit une perte de "&amp;ROUND(AB290,0)&amp;" €"&amp;" ==&gt; "&amp;ROUND(AE290*100,0)&amp;" %","Le CA de référence est celui de l'exercice 2019, soit une perte de "&amp;ROUND(AB291,0)&amp;" €"&amp;" ==&gt; "&amp;ROUND(AE291*100,0)&amp;" %")),"")</f>
        <v>Le CA de référence est celui de Mars 2019, soit une perte de 0 € ==&gt; 0 %</v>
      </c>
      <c r="E302" s="275"/>
      <c r="F302" s="275"/>
      <c r="G302" s="275"/>
      <c r="H302" s="275"/>
      <c r="I302" s="275"/>
      <c r="J302" s="275"/>
      <c r="K302" s="275"/>
      <c r="L302" s="275"/>
      <c r="M302" s="275"/>
      <c r="N302" s="275"/>
      <c r="O302" s="275"/>
      <c r="P302" s="1"/>
      <c r="T302" s="14"/>
      <c r="U302" s="296"/>
      <c r="V302" s="448" t="s">
        <v>393</v>
      </c>
      <c r="W302" s="448"/>
      <c r="X302" s="448"/>
      <c r="Y302" s="448"/>
      <c r="Z302" s="1"/>
      <c r="AA302" s="14"/>
      <c r="AB302" s="295">
        <f>IF('Mon Entreprise'!K8&gt;=Annexes!O20,IF(Y290&gt;=Y292,Y290,Y292),IF(Y290&gt;=Y291,Y290,Y291))</f>
        <v>0</v>
      </c>
      <c r="AC302" s="1"/>
      <c r="AD302" s="1"/>
      <c r="AE302" s="13"/>
    </row>
    <row r="303" spans="2:31" ht="15.75" hidden="1">
      <c r="B303" s="169"/>
      <c r="C303" s="297"/>
      <c r="D303" s="449"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03" s="449"/>
      <c r="F303" s="449"/>
      <c r="G303" s="449"/>
      <c r="H303" s="449"/>
      <c r="I303" s="449"/>
      <c r="J303" s="449"/>
      <c r="K303" s="449"/>
      <c r="L303" s="449"/>
      <c r="M303" s="449"/>
      <c r="N303" s="449"/>
      <c r="O303" s="449"/>
      <c r="P303" s="1"/>
      <c r="T303" s="14"/>
      <c r="U303" s="448" t="s">
        <v>84</v>
      </c>
      <c r="V303" s="448"/>
      <c r="W303" s="448"/>
      <c r="X303" s="448"/>
      <c r="Y303" s="448"/>
      <c r="Z303" s="1"/>
      <c r="AA303" s="14"/>
      <c r="AB303" s="270">
        <f>IF('Mon Entreprise'!K8&gt;=Annexes!O20,IF(AB290&gt;=AB292,AB290,AB292),IF(AB290&gt;=AB291,AB290,AB291))</f>
        <v>0</v>
      </c>
      <c r="AC303" s="1"/>
      <c r="AD303" s="1"/>
      <c r="AE303" s="13"/>
    </row>
    <row r="304" spans="2:31" ht="15.75" hidden="1">
      <c r="B304" s="169"/>
      <c r="C304" s="297"/>
      <c r="D304" s="449"/>
      <c r="E304" s="449"/>
      <c r="F304" s="449"/>
      <c r="G304" s="449"/>
      <c r="H304" s="449"/>
      <c r="I304" s="449"/>
      <c r="J304" s="449"/>
      <c r="K304" s="449"/>
      <c r="L304" s="449"/>
      <c r="M304" s="449"/>
      <c r="N304" s="449"/>
      <c r="O304" s="449"/>
      <c r="P304" s="1"/>
      <c r="T304" s="14"/>
      <c r="U304" s="448" t="s">
        <v>85</v>
      </c>
      <c r="V304" s="448"/>
      <c r="W304" s="448"/>
      <c r="X304" s="448"/>
      <c r="Y304" s="448"/>
      <c r="Z304" s="1"/>
      <c r="AA304" s="14"/>
      <c r="AB304" s="19">
        <f>IF('Mon Entreprise'!K8&gt;=Annexes!O20,IF(AB290&gt;=AB292,AE290,AE292),IF(AB290&gt;=AB291,AE290,AE291))</f>
        <v>0</v>
      </c>
      <c r="AC304" s="1"/>
      <c r="AD304" s="1"/>
      <c r="AE304" s="13"/>
    </row>
    <row r="305" spans="1:31" ht="16.5" hidden="1" thickBot="1">
      <c r="B305" s="103"/>
      <c r="C305" s="275"/>
      <c r="D305" s="60"/>
      <c r="E305" s="275"/>
      <c r="F305" s="275"/>
      <c r="G305" s="275"/>
      <c r="H305" s="275"/>
      <c r="I305" s="275"/>
      <c r="J305" s="275"/>
      <c r="K305" s="275"/>
      <c r="L305" s="275"/>
      <c r="M305" s="275"/>
      <c r="N305" s="275"/>
      <c r="O305" s="275"/>
      <c r="P305" s="1"/>
      <c r="T305" s="14"/>
      <c r="U305" s="1"/>
      <c r="V305" s="1"/>
      <c r="W305" s="1"/>
      <c r="X305" s="1"/>
      <c r="Y305" s="1"/>
      <c r="Z305" s="1"/>
      <c r="AA305" s="1"/>
      <c r="AB305" s="1"/>
      <c r="AC305" s="1"/>
      <c r="AD305" s="1"/>
      <c r="AE305" s="13"/>
    </row>
    <row r="306" spans="1:31" ht="15.75" hidden="1">
      <c r="B306" s="169"/>
      <c r="C306" s="275"/>
      <c r="D306" s="450" t="str">
        <f>IFERROR(IF(AB301="Non","Vous avez débuté votre activité après le 31 Décembre 2020, vous ne pouvez donc pas bénéficier de cette aide",IF(OR(AB317=TRUE,AND(AB304&lt;0.5,AB318=TRUE),(AB304&gt;=0.5)),IF(AB303&gt;Annexes!O5,"Dans votre cas, l'aide est Plafonnée, à "&amp;Annexes!O5&amp;" € pour le mois de Mars","Vous pouvez bénéficier, au titre de cette aide, d'un montant de "&amp;ROUND(AB303,0)&amp;"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6" s="451"/>
      <c r="F306" s="451"/>
      <c r="G306" s="451"/>
      <c r="H306" s="451"/>
      <c r="I306" s="451"/>
      <c r="J306" s="451"/>
      <c r="K306" s="451"/>
      <c r="L306" s="451"/>
      <c r="M306" s="451"/>
      <c r="N306" s="451"/>
      <c r="O306" s="452"/>
      <c r="P306" s="1"/>
      <c r="T306" s="14"/>
      <c r="U306" s="1"/>
      <c r="V306" s="1"/>
      <c r="W306" s="1"/>
      <c r="X306" s="1"/>
      <c r="Y306" s="1"/>
      <c r="Z306" s="1"/>
      <c r="AA306" s="1"/>
      <c r="AB306" s="1"/>
      <c r="AC306" s="1"/>
      <c r="AD306" s="1"/>
      <c r="AE306" s="13"/>
    </row>
    <row r="307" spans="1:31" ht="15.75" hidden="1" customHeight="1">
      <c r="B307" s="169"/>
      <c r="C307" s="275"/>
      <c r="D307" s="453"/>
      <c r="E307" s="454"/>
      <c r="F307" s="454"/>
      <c r="G307" s="454"/>
      <c r="H307" s="454"/>
      <c r="I307" s="454"/>
      <c r="J307" s="454"/>
      <c r="K307" s="454"/>
      <c r="L307" s="454"/>
      <c r="M307" s="454"/>
      <c r="N307" s="454"/>
      <c r="O307" s="455"/>
      <c r="P307" s="1"/>
      <c r="T307" s="14"/>
      <c r="U307" s="1"/>
      <c r="V307" s="1"/>
      <c r="W307" s="1"/>
      <c r="X307" s="1"/>
      <c r="Y307" s="1"/>
      <c r="Z307" s="1"/>
      <c r="AA307" s="1"/>
      <c r="AB307" s="1"/>
      <c r="AC307" s="1"/>
      <c r="AD307" s="1"/>
      <c r="AE307" s="13"/>
    </row>
    <row r="308" spans="1:31" ht="15.75" hidden="1" customHeight="1">
      <c r="B308" s="103"/>
      <c r="C308" s="275"/>
      <c r="D308" s="453"/>
      <c r="E308" s="454"/>
      <c r="F308" s="454"/>
      <c r="G308" s="454"/>
      <c r="H308" s="454"/>
      <c r="I308" s="454"/>
      <c r="J308" s="454"/>
      <c r="K308" s="454"/>
      <c r="L308" s="454"/>
      <c r="M308" s="454"/>
      <c r="N308" s="454"/>
      <c r="O308" s="455"/>
      <c r="P308" s="1"/>
      <c r="T308" s="14"/>
      <c r="U308" s="1"/>
      <c r="V308" s="1"/>
      <c r="W308" s="1"/>
      <c r="X308" s="1"/>
      <c r="Y308" s="1"/>
      <c r="Z308" s="1"/>
      <c r="AA308" s="1"/>
      <c r="AB308" s="1"/>
      <c r="AC308" s="1"/>
      <c r="AD308" s="1"/>
      <c r="AE308" s="13"/>
    </row>
    <row r="309" spans="1:31" ht="15.75" hidden="1" customHeight="1" thickBot="1">
      <c r="B309" s="103"/>
      <c r="C309" s="275"/>
      <c r="D309" s="456"/>
      <c r="E309" s="457"/>
      <c r="F309" s="457"/>
      <c r="G309" s="457"/>
      <c r="H309" s="457"/>
      <c r="I309" s="457"/>
      <c r="J309" s="457"/>
      <c r="K309" s="457"/>
      <c r="L309" s="457"/>
      <c r="M309" s="457"/>
      <c r="N309" s="457"/>
      <c r="O309" s="458"/>
      <c r="P309" s="1"/>
      <c r="T309" s="14"/>
      <c r="U309" s="1"/>
      <c r="V309" s="1"/>
      <c r="W309" s="1"/>
      <c r="X309" s="1"/>
      <c r="Y309" s="1"/>
      <c r="Z309" s="1"/>
      <c r="AA309" s="1"/>
      <c r="AB309" s="1"/>
      <c r="AC309" s="1"/>
      <c r="AD309" s="1"/>
      <c r="AE309" s="13"/>
    </row>
    <row r="310" spans="1:31" ht="16.5" hidden="1" customHeight="1">
      <c r="B310" s="103"/>
      <c r="C310" s="170"/>
      <c r="D310" s="459" t="s">
        <v>395</v>
      </c>
      <c r="E310" s="459"/>
      <c r="F310" s="459"/>
      <c r="G310" s="459"/>
      <c r="H310" s="459"/>
      <c r="I310" s="459"/>
      <c r="J310" s="459"/>
      <c r="K310" s="459"/>
      <c r="L310" s="459"/>
      <c r="M310" s="459"/>
      <c r="N310" s="459"/>
      <c r="O310" s="459"/>
      <c r="P310" s="1"/>
      <c r="T310" s="460" t="s">
        <v>4</v>
      </c>
      <c r="U310" s="461"/>
      <c r="V310" s="461"/>
      <c r="W310" s="461"/>
      <c r="X310" s="461"/>
      <c r="Y310" s="461"/>
      <c r="Z310" s="139"/>
      <c r="AA310" s="145"/>
      <c r="AB310" s="195">
        <f>IFERROR(IF('Mon Entreprise'!K8&gt;=Annexes!Q18,0,1-'Mon Entreprise'!M93/2/AB302),0)</f>
        <v>0</v>
      </c>
      <c r="AC310" s="1"/>
      <c r="AD310" s="1"/>
      <c r="AE310" s="13"/>
    </row>
    <row r="311" spans="1:31" ht="16.5" hidden="1" customHeight="1">
      <c r="B311" s="103"/>
      <c r="C311" s="275"/>
      <c r="D311" s="271"/>
      <c r="E311" s="271"/>
      <c r="F311" s="271"/>
      <c r="G311" s="271"/>
      <c r="H311" s="271"/>
      <c r="I311" s="271"/>
      <c r="J311" s="271"/>
      <c r="K311" s="271"/>
      <c r="L311" s="271"/>
      <c r="M311" s="271"/>
      <c r="N311" s="271"/>
      <c r="O311" s="271"/>
      <c r="P311" s="1"/>
      <c r="T311" s="110"/>
      <c r="U311" s="462" t="s">
        <v>102</v>
      </c>
      <c r="V311" s="462"/>
      <c r="W311" s="462"/>
      <c r="X311" s="462"/>
      <c r="Y311" s="462"/>
      <c r="Z311" s="139"/>
      <c r="AA311" s="145"/>
      <c r="AB311" s="195">
        <f>IFERROR(IF('Mon Entreprise'!K8&gt;Annexes!Q29,0,IF('Mon Entreprise'!K8&gt;Annexes!Q26,1,1-'Mon Entreprise'!M89/AB302)),0)</f>
        <v>0</v>
      </c>
      <c r="AC311" s="1"/>
      <c r="AD311" s="1"/>
      <c r="AE311" s="13"/>
    </row>
    <row r="312" spans="1:31" ht="16.5" hidden="1" customHeight="1">
      <c r="B312" s="103"/>
      <c r="C312" s="463" t="s">
        <v>396</v>
      </c>
      <c r="D312" s="463"/>
      <c r="E312" s="463"/>
      <c r="F312" s="463"/>
      <c r="G312" s="463"/>
      <c r="H312" s="463"/>
      <c r="I312" s="463"/>
      <c r="J312" s="463"/>
      <c r="K312" s="463"/>
      <c r="L312" s="463"/>
      <c r="M312" s="463"/>
      <c r="N312" s="463"/>
      <c r="O312" s="463"/>
      <c r="P312" s="1"/>
      <c r="T312" s="110"/>
      <c r="U312" s="462" t="s">
        <v>109</v>
      </c>
      <c r="V312" s="462"/>
      <c r="W312" s="462"/>
      <c r="X312" s="462"/>
      <c r="Y312" s="462"/>
      <c r="Z312" s="139"/>
      <c r="AA312" s="145"/>
      <c r="AB312" s="195">
        <f>IFERROR(IF(Annexes!O27&gt;'Mon Entreprise'!K8,1-'Mon Entreprise'!M73/'Mon Entreprise'!I73,0),0)</f>
        <v>0</v>
      </c>
      <c r="AC312" s="1"/>
      <c r="AD312" s="1"/>
      <c r="AE312" s="13"/>
    </row>
    <row r="313" spans="1:31" ht="16.5" hidden="1" customHeight="1">
      <c r="B313" s="103"/>
      <c r="C313" s="463"/>
      <c r="D313" s="463"/>
      <c r="E313" s="463"/>
      <c r="F313" s="463"/>
      <c r="G313" s="463"/>
      <c r="H313" s="463"/>
      <c r="I313" s="463"/>
      <c r="J313" s="463"/>
      <c r="K313" s="463"/>
      <c r="L313" s="463"/>
      <c r="M313" s="463"/>
      <c r="N313" s="463"/>
      <c r="O313" s="463"/>
      <c r="P313" s="1"/>
      <c r="T313" s="110"/>
      <c r="U313" s="273"/>
      <c r="V313" s="273"/>
      <c r="W313" s="273"/>
      <c r="X313" s="273"/>
      <c r="Y313" s="273"/>
      <c r="Z313" s="139"/>
      <c r="AA313" s="145"/>
      <c r="AB313" s="195"/>
      <c r="AC313" s="1"/>
      <c r="AD313" s="1"/>
      <c r="AE313" s="13"/>
    </row>
    <row r="314" spans="1:31" ht="16.5" hidden="1" customHeight="1">
      <c r="B314" s="103"/>
      <c r="C314" s="463"/>
      <c r="D314" s="463"/>
      <c r="E314" s="463"/>
      <c r="F314" s="463"/>
      <c r="G314" s="463"/>
      <c r="H314" s="463"/>
      <c r="I314" s="463"/>
      <c r="J314" s="463"/>
      <c r="K314" s="463"/>
      <c r="L314" s="463"/>
      <c r="M314" s="463"/>
      <c r="N314" s="463"/>
      <c r="O314" s="463"/>
      <c r="P314" s="1"/>
      <c r="T314" s="14"/>
      <c r="U314" s="464" t="s">
        <v>8</v>
      </c>
      <c r="V314" s="464"/>
      <c r="W314" s="464"/>
      <c r="X314" s="464"/>
      <c r="Y314" s="464"/>
      <c r="Z314" s="1"/>
      <c r="AA314" s="14"/>
      <c r="AB314" s="270" t="str">
        <f>IF((AND(Annexes!F5&gt;1,Annexes!F5&lt;=Annexes!H6)),"OUI","NON")</f>
        <v>NON</v>
      </c>
      <c r="AC314" s="1"/>
      <c r="AD314" s="1"/>
      <c r="AE314" s="13"/>
    </row>
    <row r="315" spans="1:31" ht="16.5" hidden="1" customHeight="1">
      <c r="B315" s="103"/>
      <c r="C315" s="463"/>
      <c r="D315" s="463"/>
      <c r="E315" s="463"/>
      <c r="F315" s="463"/>
      <c r="G315" s="463"/>
      <c r="H315" s="463"/>
      <c r="I315" s="463"/>
      <c r="J315" s="463"/>
      <c r="K315" s="463"/>
      <c r="L315" s="463"/>
      <c r="M315" s="463"/>
      <c r="N315" s="463"/>
      <c r="O315" s="463"/>
      <c r="P315" s="1"/>
      <c r="T315" s="14"/>
      <c r="U315" s="274"/>
      <c r="V315" s="274"/>
      <c r="W315" s="274"/>
      <c r="X315" s="274"/>
      <c r="Y315" s="274" t="s">
        <v>9</v>
      </c>
      <c r="Z315" s="1"/>
      <c r="AA315" s="14"/>
      <c r="AB315" s="270" t="str">
        <f>IF(AND(Annexes!F7&gt;1,Annexes!F7&lt;=Annexes!H8),"OUI","NON")</f>
        <v>NON</v>
      </c>
      <c r="AC315" s="1"/>
      <c r="AD315" s="1"/>
      <c r="AE315" s="13"/>
    </row>
    <row r="316" spans="1:31" ht="16.5" hidden="1" customHeight="1">
      <c r="B316" s="103"/>
      <c r="C316" s="275"/>
      <c r="D316" s="271"/>
      <c r="E316" s="359" t="str">
        <f>IF(AB320="NON","",IF(OR(AB314="OUI",AND(OR(AB316="OUI",AB315="OUI"),OR(AB310&gt;=Annexes!P5,AB311&gt;=Annexes!P5,'Mes Aides'!AB145&gt;=0.1)),AB317=TRUE,AB318=TRUE),"",IF(AND(OR(AB316="OUI",AB315="OUI"),OR(AB310&lt;Annexes!P5,AB311&lt;Annexes!P5,'Mes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totale ou partielle "&amp;"avec 20 % de perte et ne fait pas partie des activités mentionnées aux annexes 1, 2 et 3 ou dans un centre commercial du décret ayant une perte significative.")))</f>
        <v>L'entreprise ne fait pas partie des entreprises ayant une fermeture administrative totale ou partielle avec 20 % de perte et ne fait pas partie des activités mentionnées aux annexes 1, 2 et 3 ou dans un centre commercial du décret ayant une perte significative.</v>
      </c>
      <c r="F316" s="359"/>
      <c r="G316" s="359"/>
      <c r="H316" s="359"/>
      <c r="I316" s="359"/>
      <c r="J316" s="359"/>
      <c r="K316" s="359"/>
      <c r="L316" s="359"/>
      <c r="M316" s="359"/>
      <c r="N316" s="359"/>
      <c r="O316" s="359"/>
      <c r="P316" s="1"/>
      <c r="T316" s="436" t="s">
        <v>455</v>
      </c>
      <c r="U316" s="435"/>
      <c r="V316" s="435"/>
      <c r="W316" s="435"/>
      <c r="X316" s="435"/>
      <c r="Y316" s="435"/>
      <c r="Z316" s="1"/>
      <c r="AA316" s="14"/>
      <c r="AB316" s="270" t="str">
        <f>IF(OR(Annexes!M17=TRUE,Annexes!M23=TRUE,Annexes!M24=TRUE),"OUI","NON")</f>
        <v>NON</v>
      </c>
      <c r="AC316" s="1"/>
      <c r="AD316" s="1"/>
      <c r="AE316" s="13"/>
    </row>
    <row r="317" spans="1:31" ht="16.5" hidden="1" customHeight="1">
      <c r="B317" s="103"/>
      <c r="C317" s="275"/>
      <c r="D317" s="271"/>
      <c r="E317" s="359"/>
      <c r="F317" s="359"/>
      <c r="G317" s="359"/>
      <c r="H317" s="359"/>
      <c r="I317" s="359"/>
      <c r="J317" s="359"/>
      <c r="K317" s="359"/>
      <c r="L317" s="359"/>
      <c r="M317" s="359"/>
      <c r="N317" s="359"/>
      <c r="O317" s="359"/>
      <c r="P317" s="1"/>
      <c r="T317" s="14"/>
      <c r="U317" s="435" t="s">
        <v>313</v>
      </c>
      <c r="V317" s="435"/>
      <c r="W317" s="435"/>
      <c r="X317" s="435"/>
      <c r="Y317" s="435"/>
      <c r="Z317" s="1"/>
      <c r="AA317" s="14"/>
      <c r="AB317" s="270" t="b">
        <f>IF(Annexes!M26=TRUE,TRUE,FALSE)</f>
        <v>0</v>
      </c>
      <c r="AC317" s="1"/>
      <c r="AD317" s="1"/>
      <c r="AE317" s="13"/>
    </row>
    <row r="318" spans="1:31" ht="16.5" hidden="1" customHeight="1">
      <c r="B318" s="169"/>
      <c r="C318" s="275"/>
      <c r="D318" s="271"/>
      <c r="E318" s="359"/>
      <c r="F318" s="359"/>
      <c r="G318" s="359"/>
      <c r="H318" s="359"/>
      <c r="I318" s="359"/>
      <c r="J318" s="359"/>
      <c r="K318" s="359"/>
      <c r="L318" s="359"/>
      <c r="M318" s="359"/>
      <c r="N318" s="359"/>
      <c r="O318" s="359"/>
      <c r="P318" s="1"/>
      <c r="T318" s="14"/>
      <c r="U318" s="435" t="s">
        <v>394</v>
      </c>
      <c r="V318" s="435"/>
      <c r="W318" s="435"/>
      <c r="X318" s="435"/>
      <c r="Y318" s="435"/>
      <c r="Z318" s="1"/>
      <c r="AA318" s="14"/>
      <c r="AB318" s="294" t="b">
        <f>IF(Annexes!M27=TRUE,TRUE,FALSE)</f>
        <v>0</v>
      </c>
      <c r="AC318" s="1"/>
      <c r="AD318" s="1"/>
      <c r="AE318" s="13"/>
    </row>
    <row r="319" spans="1:31" ht="16.5" hidden="1" customHeight="1">
      <c r="A319" s="99"/>
      <c r="B319" s="103"/>
      <c r="C319" s="275"/>
      <c r="D319" s="465"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19" s="465"/>
      <c r="F319" s="465"/>
      <c r="G319" s="465"/>
      <c r="H319" s="465"/>
      <c r="I319" s="465"/>
      <c r="J319" s="465"/>
      <c r="K319" s="465"/>
      <c r="L319" s="465"/>
      <c r="M319" s="465"/>
      <c r="N319" s="465"/>
      <c r="O319" s="465"/>
      <c r="P319" s="1"/>
      <c r="T319" s="14"/>
      <c r="U319" s="294"/>
      <c r="V319" s="294"/>
      <c r="W319" s="294"/>
      <c r="X319" s="294"/>
      <c r="Y319" s="294"/>
      <c r="Z319" s="1"/>
      <c r="AA319" s="14"/>
      <c r="AB319" s="294"/>
      <c r="AC319" s="1"/>
      <c r="AD319" s="1"/>
      <c r="AE319" s="13"/>
    </row>
    <row r="320" spans="1:31" ht="16.5" hidden="1" customHeight="1">
      <c r="A320" s="99"/>
      <c r="B320" s="103"/>
      <c r="C320" s="297"/>
      <c r="D320" s="466"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20" s="466"/>
      <c r="F320" s="466"/>
      <c r="G320" s="466"/>
      <c r="H320" s="466"/>
      <c r="I320" s="466"/>
      <c r="J320" s="466"/>
      <c r="K320" s="466"/>
      <c r="L320" s="466"/>
      <c r="M320" s="466"/>
      <c r="N320" s="466"/>
      <c r="O320" s="466"/>
      <c r="P320" s="1"/>
      <c r="T320" s="14"/>
      <c r="U320" s="467" t="s">
        <v>72</v>
      </c>
      <c r="V320" s="467"/>
      <c r="W320" s="467"/>
      <c r="X320" s="467"/>
      <c r="Y320" s="467"/>
      <c r="Z320" s="139"/>
      <c r="AA320" s="145"/>
      <c r="AB320" s="272" t="str">
        <f>IF(AB301="Oui","Oui","Non")</f>
        <v>Oui</v>
      </c>
      <c r="AC320" s="139"/>
      <c r="AD320" s="1"/>
      <c r="AE320" s="13"/>
    </row>
    <row r="321" spans="1:31" ht="16.5" hidden="1" customHeight="1">
      <c r="A321" s="99"/>
      <c r="B321" s="103"/>
      <c r="C321" s="297"/>
      <c r="D321" s="466"/>
      <c r="E321" s="466"/>
      <c r="F321" s="466"/>
      <c r="G321" s="466"/>
      <c r="H321" s="466"/>
      <c r="I321" s="466"/>
      <c r="J321" s="466"/>
      <c r="K321" s="466"/>
      <c r="L321" s="466"/>
      <c r="M321" s="466"/>
      <c r="N321" s="466"/>
      <c r="O321" s="466"/>
      <c r="P321" s="1"/>
      <c r="T321" s="14"/>
      <c r="U321" s="467" t="s">
        <v>84</v>
      </c>
      <c r="V321" s="467"/>
      <c r="W321" s="467"/>
      <c r="X321" s="467"/>
      <c r="Y321" s="467"/>
      <c r="Z321" s="139"/>
      <c r="AA321" s="145"/>
      <c r="AB321" s="272">
        <f>IF('Mon Entreprise'!K8&gt;=Annexes!O20,IF(AB290&gt;=AB292,AB290,AB292),IF(AB290&gt;=AB291,AB290,AB291))</f>
        <v>0</v>
      </c>
      <c r="AC321" s="139"/>
      <c r="AD321" s="1"/>
      <c r="AE321" s="13"/>
    </row>
    <row r="322" spans="1:31" ht="16.5" hidden="1" customHeight="1">
      <c r="B322" s="103"/>
      <c r="C322" s="275"/>
      <c r="D322" s="216" t="str">
        <f>IF(OR(AB314="OUI",AB317=TRUE),"- Sans ticket modérateur",IF(AND(OR(AB316="OUI",AB315="OUI"),OR(AB310&gt;=0.8,AB311&gt;=0.8,AB312&gt;=0.1)),"- La Perte de référence est plafonnée à 80 %, soit "&amp;ROUND(AB325,0)&amp;" €","- Sans ticket modérateur"))</f>
        <v>- Sans ticket modérateur</v>
      </c>
      <c r="E322" s="269"/>
      <c r="F322" s="269"/>
      <c r="G322" s="269"/>
      <c r="H322" s="269"/>
      <c r="I322" s="269"/>
      <c r="J322" s="269"/>
      <c r="K322" s="269"/>
      <c r="L322" s="269"/>
      <c r="M322" s="269"/>
      <c r="N322" s="269"/>
      <c r="O322" s="269"/>
      <c r="P322" s="1"/>
      <c r="T322" s="14"/>
      <c r="U322" s="467" t="s">
        <v>85</v>
      </c>
      <c r="V322" s="467"/>
      <c r="W322" s="467"/>
      <c r="X322" s="467"/>
      <c r="Y322" s="467"/>
      <c r="Z322" s="139"/>
      <c r="AA322" s="145"/>
      <c r="AB322" s="272">
        <f>IF('Mon Entreprise'!K8&gt;=Annexes!O20,IF(AB290&gt;=AB292,AE290,AE292),IF(AB290&gt;=AB291,AE290,AE291))</f>
        <v>0</v>
      </c>
      <c r="AC322" s="139"/>
      <c r="AD322" s="1"/>
      <c r="AE322" s="13"/>
    </row>
    <row r="323" spans="1:31" ht="16.5" hidden="1" customHeight="1" thickBot="1">
      <c r="B323" s="103"/>
      <c r="C323" s="275"/>
      <c r="D323" s="269"/>
      <c r="E323" s="269"/>
      <c r="F323" s="269"/>
      <c r="G323" s="269"/>
      <c r="H323" s="269"/>
      <c r="I323" s="269"/>
      <c r="J323" s="269"/>
      <c r="K323" s="269"/>
      <c r="L323" s="269"/>
      <c r="M323" s="269"/>
      <c r="N323" s="269"/>
      <c r="O323" s="269"/>
      <c r="P323" s="1"/>
      <c r="T323" s="14"/>
      <c r="U323" s="447" t="s">
        <v>74</v>
      </c>
      <c r="V323" s="447"/>
      <c r="W323" s="447"/>
      <c r="X323" s="447"/>
      <c r="Y323" s="447"/>
      <c r="Z323" s="139"/>
      <c r="AA323" s="145"/>
      <c r="AB323" s="272">
        <f>IF(OR(AB314="OUI",AB317=TRUE),1,IF(AND(OR(AB316="OUI",AB315="OUI"),OR(AB310&gt;=0.8,AB311&gt;=0.8,AB312&gt;=0.1)),0.8,1))</f>
        <v>1</v>
      </c>
      <c r="AC323" s="139"/>
      <c r="AD323" s="1"/>
      <c r="AE323" s="13"/>
    </row>
    <row r="324" spans="1:31" ht="16.5" hidden="1" customHeight="1">
      <c r="B324" s="103"/>
      <c r="C324" s="275"/>
      <c r="D324" s="450" t="str">
        <f>IFERROR(IF(AB320="NON","Vous avez débuté votre activité après le 31 Décembre 2020, vous ne pouvez donc pas bénéficier de cette aide",IF(OR(AB317=TRUE,AND(AB318=TRUE,AB322&gt;=0.5)),IF(AB325&gt;Annexes!O6,"Dans votre cas, l'aide est Plafonnée, à "&amp;Annexes!O6&amp;" € pour le mois de Mars","Vous pouvez bénéficier, au titre de cette aide, d'un montant de "&amp;ROUND(AB325,0)&amp;" € pour le mois de Mars"),IF(AB322&gt;=0.5,IF(OR(AB314="OUI",AND(OR(AB316="OUI",AB315="OUI"),OR(AB310&gt;=Annexes!P5,AB311&gt;=Annexes!P5,AB312&gt;=0.1))),IF(AB325&gt;Annexes!O6,"Dans votre cas, l'aide est Plafonnée, à "&amp;Annexes!O6&amp;" € pour le mois de Mars","Vous pouvez bénéficier, au titre de cette aide, d'un montant de "&amp;ROUND(AB325,0)&amp;" € pour le mois de Mars"),IF(AND(OR(AB316="OUI",AB315="OUI"),OR(AB310&lt;Annexes!P5,AB311&lt;Annexes!P5)),"L'entreprise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4" s="451"/>
      <c r="F324" s="451"/>
      <c r="G324" s="451"/>
      <c r="H324" s="451"/>
      <c r="I324" s="451"/>
      <c r="J324" s="451"/>
      <c r="K324" s="451"/>
      <c r="L324" s="451"/>
      <c r="M324" s="451"/>
      <c r="N324" s="451"/>
      <c r="O324" s="452"/>
      <c r="P324" s="1"/>
      <c r="T324" s="14"/>
      <c r="U324" s="447" t="s">
        <v>80</v>
      </c>
      <c r="V324" s="447"/>
      <c r="W324" s="447"/>
      <c r="X324" s="447"/>
      <c r="Y324" s="447"/>
      <c r="Z324" s="139"/>
      <c r="AA324" s="145"/>
      <c r="AB324" s="272">
        <f>IF('Mon Entreprise'!K8&gt;=Annexes!O20,IF(AB290&gt;=AB292,Y290,Y292),IF(AB290&gt;=AB291,Y290,Y291))</f>
        <v>0</v>
      </c>
      <c r="AC324" s="139"/>
      <c r="AD324" s="1"/>
      <c r="AE324" s="13"/>
    </row>
    <row r="325" spans="1:31" ht="16.5" hidden="1" customHeight="1">
      <c r="B325" s="174"/>
      <c r="C325" s="275"/>
      <c r="D325" s="453"/>
      <c r="E325" s="454"/>
      <c r="F325" s="454"/>
      <c r="G325" s="454"/>
      <c r="H325" s="454"/>
      <c r="I325" s="454"/>
      <c r="J325" s="454"/>
      <c r="K325" s="454"/>
      <c r="L325" s="454"/>
      <c r="M325" s="454"/>
      <c r="N325" s="454"/>
      <c r="O325" s="455"/>
      <c r="P325" s="1"/>
      <c r="T325" s="14"/>
      <c r="U325" s="435" t="s">
        <v>104</v>
      </c>
      <c r="V325" s="435"/>
      <c r="W325" s="435"/>
      <c r="X325" s="435"/>
      <c r="Y325" s="435"/>
      <c r="Z325" s="1"/>
      <c r="AA325" s="14"/>
      <c r="AB325" s="270">
        <f>IF(AB323=1,AB321,IF(AB321*AB323&gt;1500,IF(AB321&gt;1500,AB321*AB323,"Impossible"),IF(AB321&lt;1500,AB321,1500)))</f>
        <v>0</v>
      </c>
      <c r="AC325" s="1"/>
      <c r="AD325" s="1"/>
      <c r="AE325" s="13"/>
    </row>
    <row r="326" spans="1:31" ht="16.5" hidden="1" customHeight="1">
      <c r="B326" s="103"/>
      <c r="C326" s="275"/>
      <c r="D326" s="453"/>
      <c r="E326" s="454"/>
      <c r="F326" s="454"/>
      <c r="G326" s="454"/>
      <c r="H326" s="454"/>
      <c r="I326" s="454"/>
      <c r="J326" s="454"/>
      <c r="K326" s="454"/>
      <c r="L326" s="454"/>
      <c r="M326" s="454"/>
      <c r="N326" s="454"/>
      <c r="O326" s="455"/>
      <c r="P326" s="1"/>
      <c r="T326" s="14"/>
      <c r="U326" s="270"/>
      <c r="V326" s="270"/>
      <c r="W326" s="270"/>
      <c r="X326" s="270"/>
      <c r="Y326" s="270"/>
      <c r="Z326" s="1"/>
      <c r="AA326" s="1"/>
      <c r="AB326" s="1"/>
      <c r="AC326" s="1"/>
      <c r="AD326" s="1"/>
      <c r="AE326" s="13"/>
    </row>
    <row r="327" spans="1:31" ht="16.5" hidden="1" customHeight="1" thickBot="1">
      <c r="B327" s="103"/>
      <c r="C327" s="275"/>
      <c r="D327" s="456"/>
      <c r="E327" s="457"/>
      <c r="F327" s="457"/>
      <c r="G327" s="457"/>
      <c r="H327" s="457"/>
      <c r="I327" s="457"/>
      <c r="J327" s="457"/>
      <c r="K327" s="457"/>
      <c r="L327" s="457"/>
      <c r="M327" s="457"/>
      <c r="N327" s="457"/>
      <c r="O327" s="458"/>
      <c r="P327" s="1"/>
      <c r="T327" s="14"/>
      <c r="U327" s="435"/>
      <c r="V327" s="435"/>
      <c r="W327" s="435"/>
      <c r="X327" s="435"/>
      <c r="Y327" s="435"/>
      <c r="Z327" s="1"/>
      <c r="AA327" s="1"/>
      <c r="AB327" s="1"/>
      <c r="AC327" s="1"/>
      <c r="AD327" s="1"/>
      <c r="AE327" s="13"/>
    </row>
    <row r="328" spans="1:31" ht="16.5" hidden="1" customHeight="1">
      <c r="B328" s="103"/>
      <c r="C328" s="170"/>
      <c r="D328" s="175"/>
      <c r="E328" s="175"/>
      <c r="F328" s="175"/>
      <c r="G328" s="175"/>
      <c r="H328" s="175"/>
      <c r="I328" s="175"/>
      <c r="J328" s="175"/>
      <c r="K328" s="175"/>
      <c r="L328" s="175"/>
      <c r="M328" s="175"/>
      <c r="N328" s="175"/>
      <c r="O328" s="175"/>
      <c r="P328" s="1"/>
      <c r="T328" s="14"/>
      <c r="U328" s="270"/>
      <c r="V328" s="270"/>
      <c r="W328" s="270"/>
      <c r="X328" s="270"/>
      <c r="Y328" s="270"/>
      <c r="Z328" s="1"/>
      <c r="AA328" s="1"/>
      <c r="AB328" s="1"/>
      <c r="AC328" s="1"/>
      <c r="AD328" s="1"/>
      <c r="AE328" s="13"/>
    </row>
    <row r="329" spans="1:31" ht="16.5" hidden="1" customHeight="1">
      <c r="B329" s="103"/>
      <c r="C329" s="275"/>
      <c r="D329" s="269"/>
      <c r="E329" s="269"/>
      <c r="F329" s="269"/>
      <c r="G329" s="269"/>
      <c r="H329" s="269"/>
      <c r="I329" s="269"/>
      <c r="J329" s="269"/>
      <c r="K329" s="269"/>
      <c r="L329" s="269"/>
      <c r="M329" s="269"/>
      <c r="N329" s="269"/>
      <c r="O329" s="269"/>
      <c r="P329" s="1"/>
      <c r="T329" s="14"/>
      <c r="U329" s="1"/>
      <c r="V329" s="1"/>
      <c r="W329" s="1"/>
      <c r="X329" s="1"/>
      <c r="Y329" s="1"/>
      <c r="Z329" s="1"/>
      <c r="AA329" s="1"/>
      <c r="AB329" s="1"/>
      <c r="AC329" s="1"/>
      <c r="AD329" s="1"/>
      <c r="AE329" s="13"/>
    </row>
    <row r="330" spans="1:31" ht="16.5" hidden="1" customHeight="1">
      <c r="B330" s="103"/>
      <c r="C330" s="469" t="s">
        <v>398</v>
      </c>
      <c r="D330" s="469"/>
      <c r="E330" s="469"/>
      <c r="F330" s="469"/>
      <c r="G330" s="469"/>
      <c r="H330" s="469"/>
      <c r="I330" s="469"/>
      <c r="J330" s="469"/>
      <c r="K330" s="469"/>
      <c r="L330" s="469"/>
      <c r="M330" s="469"/>
      <c r="N330" s="469"/>
      <c r="O330" s="469"/>
      <c r="P330" s="1"/>
      <c r="T330" s="14"/>
      <c r="U330" s="1"/>
      <c r="V330" s="1"/>
      <c r="W330" s="1"/>
      <c r="X330" s="1"/>
      <c r="Y330" s="1"/>
      <c r="Z330" s="1"/>
      <c r="AA330" s="1"/>
      <c r="AB330" s="1"/>
      <c r="AC330" s="1"/>
      <c r="AD330" s="1"/>
      <c r="AE330" s="13"/>
    </row>
    <row r="331" spans="1:31" ht="16.5" hidden="1" customHeight="1">
      <c r="B331" s="103"/>
      <c r="C331" s="469"/>
      <c r="D331" s="469"/>
      <c r="E331" s="469"/>
      <c r="F331" s="469"/>
      <c r="G331" s="469"/>
      <c r="H331" s="469"/>
      <c r="I331" s="469"/>
      <c r="J331" s="469"/>
      <c r="K331" s="469"/>
      <c r="L331" s="469"/>
      <c r="M331" s="469"/>
      <c r="N331" s="469"/>
      <c r="O331" s="469"/>
      <c r="P331" s="1"/>
      <c r="T331" s="14"/>
      <c r="U331" s="1"/>
      <c r="V331" s="1"/>
      <c r="W331" s="1"/>
      <c r="X331" s="1"/>
      <c r="Y331" s="1"/>
      <c r="Z331" s="1"/>
      <c r="AA331" s="1"/>
      <c r="AB331" s="1"/>
      <c r="AC331" s="1"/>
      <c r="AD331" s="1"/>
      <c r="AE331" s="13"/>
    </row>
    <row r="332" spans="1:31" ht="16.5" hidden="1" customHeight="1">
      <c r="B332" s="103"/>
      <c r="C332" s="469"/>
      <c r="D332" s="469"/>
      <c r="E332" s="469"/>
      <c r="F332" s="469"/>
      <c r="G332" s="469"/>
      <c r="H332" s="469"/>
      <c r="I332" s="469"/>
      <c r="J332" s="469"/>
      <c r="K332" s="469"/>
      <c r="L332" s="469"/>
      <c r="M332" s="469"/>
      <c r="N332" s="469"/>
      <c r="O332" s="469"/>
      <c r="P332" s="1"/>
      <c r="T332" s="14"/>
      <c r="U332" s="1"/>
      <c r="V332" s="1"/>
      <c r="W332" s="1"/>
      <c r="X332" s="1"/>
      <c r="Y332" s="1"/>
      <c r="Z332" s="1"/>
      <c r="AA332" s="1"/>
      <c r="AB332" s="1"/>
      <c r="AC332" s="1"/>
      <c r="AD332" s="1"/>
      <c r="AE332" s="13"/>
    </row>
    <row r="333" spans="1:31" ht="16.5" hidden="1" customHeight="1">
      <c r="B333" s="174"/>
      <c r="C333" s="469"/>
      <c r="D333" s="469"/>
      <c r="E333" s="469"/>
      <c r="F333" s="469"/>
      <c r="G333" s="469"/>
      <c r="H333" s="469"/>
      <c r="I333" s="469"/>
      <c r="J333" s="469"/>
      <c r="K333" s="469"/>
      <c r="L333" s="469"/>
      <c r="M333" s="469"/>
      <c r="N333" s="469"/>
      <c r="O333" s="469"/>
      <c r="P333" s="1"/>
      <c r="T333" s="14"/>
      <c r="U333" s="1"/>
      <c r="V333" s="1"/>
      <c r="W333" s="1"/>
      <c r="X333" s="1"/>
      <c r="Y333" s="1"/>
      <c r="Z333" s="1"/>
      <c r="AA333" s="1"/>
      <c r="AB333" s="1"/>
      <c r="AC333" s="1"/>
      <c r="AD333" s="1"/>
      <c r="AE333" s="13"/>
    </row>
    <row r="334" spans="1:31" ht="16.5" hidden="1" customHeight="1">
      <c r="B334" s="174"/>
      <c r="C334" s="275"/>
      <c r="D334" s="271"/>
      <c r="E334" s="465" t="str">
        <f>IF(AB320="NON","",IF(OR(AB314="OUI",AND(OR(AB316="OUI",AB315="OUI"),OR(AB310&gt;=Annexes!P5,AB311&gt;=Annexes!P5,'Mes Aides'!AB145&gt;=0.1)),AB317=TRUE,AB318=TRUE),"",IF(AND(OR(AB316="OUI",AB315="OUI"),OR(AB310&lt;Annexes!P5,AB311&lt;Annexes!P5,'Mes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L'entreprise ne fait pas partie des entreprises ayant une fermeture administrative totale ou partielle sur le mois avec une perte de 20 % de CA et ne fait pas partie des activités mentionnées aux annexes 1, 2 et 3 ou dans un centre commercial du décret.</v>
      </c>
      <c r="F334" s="465"/>
      <c r="G334" s="465"/>
      <c r="H334" s="465"/>
      <c r="I334" s="465"/>
      <c r="J334" s="465"/>
      <c r="K334" s="465"/>
      <c r="L334" s="465"/>
      <c r="M334" s="465"/>
      <c r="N334" s="465"/>
      <c r="O334" s="465"/>
      <c r="P334" s="1"/>
      <c r="T334" s="14"/>
      <c r="U334" s="447" t="s">
        <v>82</v>
      </c>
      <c r="V334" s="447"/>
      <c r="W334" s="447"/>
      <c r="X334" s="447"/>
      <c r="Y334" s="447"/>
      <c r="Z334" s="68"/>
      <c r="AA334" s="1"/>
      <c r="AB334" s="1">
        <f>IFERROR(IF(AB301="Non",0,IF(OR(AND(AB304&lt;0.5,AB318=TRUE),(AB304&gt;=0.5)),IF(AB303&gt;Annexes!O5,Annexes!O5,ROUND(AB303,0)),0)),0)</f>
        <v>0</v>
      </c>
      <c r="AC334" s="1"/>
      <c r="AD334" s="1"/>
      <c r="AE334" s="13"/>
    </row>
    <row r="335" spans="1:31" ht="15" hidden="1" customHeight="1">
      <c r="B335" s="174"/>
      <c r="C335" s="275"/>
      <c r="D335" s="271"/>
      <c r="E335" s="465"/>
      <c r="F335" s="465"/>
      <c r="G335" s="465"/>
      <c r="H335" s="465"/>
      <c r="I335" s="465"/>
      <c r="J335" s="465"/>
      <c r="K335" s="465"/>
      <c r="L335" s="465"/>
      <c r="M335" s="465"/>
      <c r="N335" s="465"/>
      <c r="O335" s="465"/>
      <c r="P335" s="1"/>
      <c r="T335" s="14"/>
      <c r="U335" s="447" t="s">
        <v>81</v>
      </c>
      <c r="V335" s="447"/>
      <c r="W335" s="447"/>
      <c r="X335" s="447"/>
      <c r="Y335" s="447"/>
      <c r="Z335" s="68"/>
      <c r="AA335" s="1"/>
      <c r="AB335" s="1">
        <f>IFERROR(IF(AB320="NON",0,IF(OR(AB317=TRUE,AND(AB318=TRUE,AB322&gt;=0.5)),IF(AB325&gt;Annexes!O6,Annexes!O6,ROUND(AB325,0)),IF(AB322&gt;=0.5,IF(OR(AB314="OUI",AND(OR(AB316="OUI",AB315="OUI"),OR(AB310&gt;=Annexes!P5,AB311&gt;=Annexes!P5,AB312&gt;=0.1))),IF(AB325&gt;Annexes!O6,Annexes!O6,ROUND(AB325,0)),IF(AND(OR(AB316="OUI",AB315="OUI"),OR(AB310&lt;Annexes!P5,AB311&lt;Annexes!P5)),0,0)),0))),0)</f>
        <v>0</v>
      </c>
      <c r="AC335" s="1"/>
      <c r="AD335" s="1"/>
      <c r="AE335" s="13"/>
    </row>
    <row r="336" spans="1:31" ht="15" hidden="1" customHeight="1">
      <c r="B336" s="174"/>
      <c r="C336" s="275"/>
      <c r="D336" s="271"/>
      <c r="E336" s="465"/>
      <c r="F336" s="465"/>
      <c r="G336" s="465"/>
      <c r="H336" s="465"/>
      <c r="I336" s="465"/>
      <c r="J336" s="465"/>
      <c r="K336" s="465"/>
      <c r="L336" s="465"/>
      <c r="M336" s="465"/>
      <c r="N336" s="465"/>
      <c r="O336" s="465"/>
      <c r="P336" s="1"/>
      <c r="T336" s="14"/>
      <c r="U336" s="447" t="s">
        <v>399</v>
      </c>
      <c r="V336" s="447"/>
      <c r="W336" s="447"/>
      <c r="X336" s="447"/>
      <c r="Y336" s="447"/>
      <c r="Z336" s="68"/>
      <c r="AA336" s="1"/>
      <c r="AB336" s="1">
        <f>IFERROR(IF(AB320="NON",0,IF(OR(AB317=TRUE,AND(AB318=TRUE,AB322&gt;=0.5)),IF(AB324=0,0,IF(AB321&lt;AB324*0.2,ROUND(AB321,0),IF(AB324*0.2&gt;=200000,Annexes!O8,ROUND(AB324*0.2,0)))),IF(OR(AB314="OUI",AND(AB315="OUI",OR(AB310&gt;=0.8,AB311&gt;=0.8,AB312&gt;=0.1))),IF(AB322&gt;=0.7,IF(AB321&lt;AB324*0.2,ROUND(AB321,0),IF(AB324*0.2&gt;=200000,Annexes!O8,ROUND(AB324*0.2,0))),IF(AB322&gt;=0.5,IF(AB321&lt;AB324*0.15,ROUND(AB321,0),IF(AB324*0.15&gt;=200000,Annexes!O8,ROUND(AB324*0.15,0))),IF(AND(AB316="OUI",OR(AB310&gt;=0.8,AB311&gt;=0.8,AB312&gt;=0.1),AB322&gt;=0.7),IF(AB321&lt;AB324*0.2,ROUND(AB321,0),IF(AB324*0.2&gt;=200000,Annexes!O8,ROUND(AB324*0.2,0))),0))),IF(AND(AB316="OUI",OR(AB310&gt;=0.8,AB311&gt;=0.8,AB312&gt;=0.1),AB322&gt;=0.7),IF(AB321&lt;AB324*0.2,ROUND(AB321,0),IF(AB324*0.2&gt;=200000,Annexes!O8,ROUND(AB324*0.2,0))),0)))),0)</f>
        <v>0</v>
      </c>
      <c r="AC336" s="1"/>
      <c r="AD336" s="1"/>
      <c r="AE336" s="13"/>
    </row>
    <row r="337" spans="2:31" ht="16.5" hidden="1" customHeight="1">
      <c r="B337" s="174"/>
      <c r="C337" s="275"/>
      <c r="D337" s="359"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37" s="359"/>
      <c r="F337" s="359"/>
      <c r="G337" s="359"/>
      <c r="H337" s="359"/>
      <c r="I337" s="359"/>
      <c r="J337" s="359"/>
      <c r="K337" s="359"/>
      <c r="L337" s="359"/>
      <c r="M337" s="359"/>
      <c r="N337" s="359"/>
      <c r="O337" s="359"/>
      <c r="P337" s="269"/>
      <c r="Q337" s="269"/>
      <c r="T337" s="14"/>
      <c r="U337" s="1"/>
      <c r="V337" s="1"/>
      <c r="W337" s="1"/>
      <c r="X337" s="1"/>
      <c r="Y337" s="1"/>
      <c r="Z337" s="1"/>
      <c r="AA337" s="1"/>
      <c r="AB337" s="1"/>
      <c r="AC337" s="1"/>
      <c r="AD337" s="1"/>
      <c r="AE337" s="13"/>
    </row>
    <row r="338" spans="2:31" ht="16.5" hidden="1" customHeight="1">
      <c r="B338" s="174"/>
      <c r="C338" s="297"/>
      <c r="D338" s="466"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38" s="466"/>
      <c r="F338" s="466"/>
      <c r="G338" s="466"/>
      <c r="H338" s="466"/>
      <c r="I338" s="466"/>
      <c r="J338" s="466"/>
      <c r="K338" s="466"/>
      <c r="L338" s="466"/>
      <c r="M338" s="466"/>
      <c r="N338" s="466"/>
      <c r="O338" s="466"/>
      <c r="P338" s="290"/>
      <c r="Q338" s="290"/>
      <c r="T338" s="14"/>
      <c r="U338" s="1"/>
      <c r="V338" s="1"/>
      <c r="W338" s="1"/>
      <c r="X338" s="1"/>
      <c r="Y338" s="1"/>
      <c r="Z338" s="1"/>
      <c r="AA338" s="1"/>
      <c r="AB338" s="1"/>
      <c r="AC338" s="1"/>
      <c r="AD338" s="1"/>
      <c r="AE338" s="13"/>
    </row>
    <row r="339" spans="2:31" ht="16.5" hidden="1" customHeight="1">
      <c r="B339" s="174"/>
      <c r="C339" s="297"/>
      <c r="D339" s="466"/>
      <c r="E339" s="466"/>
      <c r="F339" s="466"/>
      <c r="G339" s="466"/>
      <c r="H339" s="466"/>
      <c r="I339" s="466"/>
      <c r="J339" s="466"/>
      <c r="K339" s="466"/>
      <c r="L339" s="466"/>
      <c r="M339" s="466"/>
      <c r="N339" s="466"/>
      <c r="O339" s="466"/>
      <c r="P339" s="290"/>
      <c r="Q339" s="290"/>
      <c r="T339" s="14"/>
      <c r="U339" s="1"/>
      <c r="V339" s="1"/>
      <c r="W339" s="1"/>
      <c r="X339" s="1"/>
      <c r="Y339" s="1"/>
      <c r="Z339" s="1"/>
      <c r="AA339" s="1"/>
      <c r="AB339" s="1"/>
      <c r="AC339" s="1"/>
      <c r="AD339" s="1"/>
      <c r="AE339" s="13"/>
    </row>
    <row r="340" spans="2:31" ht="16.5" hidden="1" customHeight="1">
      <c r="B340" s="103"/>
      <c r="C340" s="275"/>
      <c r="D340" s="465" t="str">
        <f>IF(OR(AB317=TRUE,AND(AB318=TRUE,AB322&gt;=0.5)),"- L'entreprise peut bénéficier d'une aide de 20 % du CA de référence, plafonnée à 200 000 €",IF(OR(AB314="OUI",AND(AB315="OUI",OR(AB310&gt;=0.8,AB311&gt;=0.8,AB312&gt;=0.1))),IF(AB322&gt;=0.7,"- L'entreprise peut bénéficier d'une aide de 20 % du CA de référence, plafonnée à 200 000 €",IF(AB322&gt;=0.5,"- L'entreprise peut bénéficier d'une aide de 15 % du CA de référence, plafonnée à 200 000 €","- L'entreprise n'a subi ni de fermeture administrative avec une perte de 20 % de CA au mois de Mars, ni de perte d'au moins 50 % de son CA")),IF(AND(AB316="OUI",OR(AB310&gt;=0.8,AB311&gt;=0.8,AB312&gt;=0.1),AB322&gt;=0.5),"-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ne fait ni partie des fermetures administratives avec une perte de 20 % du CA au mois de Mars, ni des activités mentionnées en annexe 1 (S1) ou en annexe 2 (S1 bis) ou Annexe 3 ou dans un centre commercial ayant une perte significative</v>
      </c>
      <c r="E340" s="465"/>
      <c r="F340" s="465"/>
      <c r="G340" s="465"/>
      <c r="H340" s="465"/>
      <c r="I340" s="465"/>
      <c r="J340" s="465"/>
      <c r="K340" s="465"/>
      <c r="L340" s="465"/>
      <c r="M340" s="465"/>
      <c r="N340" s="465"/>
      <c r="O340" s="465"/>
      <c r="P340" s="269"/>
      <c r="Q340" s="269"/>
      <c r="T340" s="14"/>
      <c r="U340" s="1"/>
      <c r="V340" s="1"/>
      <c r="W340" s="1"/>
      <c r="X340" s="1"/>
      <c r="Y340" s="1"/>
      <c r="Z340" s="1"/>
      <c r="AA340" s="1"/>
      <c r="AB340" s="1"/>
      <c r="AC340" s="1"/>
      <c r="AD340" s="1"/>
      <c r="AE340" s="13"/>
    </row>
    <row r="341" spans="2:31" ht="16.5" hidden="1" customHeight="1">
      <c r="B341" s="169"/>
      <c r="C341" s="275"/>
      <c r="D341" s="465"/>
      <c r="E341" s="465"/>
      <c r="F341" s="465"/>
      <c r="G341" s="465"/>
      <c r="H341" s="465"/>
      <c r="I341" s="465"/>
      <c r="J341" s="465"/>
      <c r="K341" s="465"/>
      <c r="L341" s="465"/>
      <c r="M341" s="465"/>
      <c r="N341" s="465"/>
      <c r="O341" s="465"/>
      <c r="P341" s="269"/>
      <c r="Q341" s="269"/>
      <c r="T341" s="14"/>
      <c r="U341" s="1"/>
      <c r="V341" s="1"/>
      <c r="W341" s="1"/>
      <c r="X341" s="1"/>
      <c r="Y341" s="1"/>
      <c r="Z341" s="1"/>
      <c r="AA341" s="1"/>
      <c r="AB341" s="1"/>
      <c r="AC341" s="1"/>
      <c r="AD341" s="1"/>
      <c r="AE341" s="13"/>
    </row>
    <row r="342" spans="2:31" ht="16.5" hidden="1" customHeight="1" thickBot="1">
      <c r="B342" s="169"/>
      <c r="C342" s="275"/>
      <c r="D342" s="206"/>
      <c r="E342" s="269"/>
      <c r="F342" s="269"/>
      <c r="G342" s="269"/>
      <c r="H342" s="269"/>
      <c r="I342" s="269"/>
      <c r="J342" s="269"/>
      <c r="K342" s="269"/>
      <c r="L342" s="269"/>
      <c r="M342" s="269"/>
      <c r="N342" s="269"/>
      <c r="O342" s="269"/>
      <c r="P342" s="269"/>
      <c r="Q342" s="269"/>
      <c r="T342" s="14"/>
      <c r="U342" s="1"/>
      <c r="V342" s="1"/>
      <c r="W342" s="1"/>
      <c r="X342" s="1"/>
      <c r="Y342" s="1"/>
      <c r="Z342" s="1"/>
      <c r="AA342" s="1"/>
      <c r="AB342" s="1"/>
      <c r="AC342" s="1"/>
      <c r="AD342" s="1"/>
      <c r="AE342" s="13"/>
    </row>
    <row r="343" spans="2:31" ht="16.5" hidden="1" customHeight="1">
      <c r="B343" s="103"/>
      <c r="C343" s="181"/>
      <c r="D343" s="468" t="str">
        <f>IFERROR(IF(AB320="NON","Vous avez débuté votre activité après le 31 Décembre 2020, vous ne pouvez donc pas bénéficier de cette aide",IF(OR(AB317=TRUE,AND(AB318=TRUE,AB322&gt;=0.5)),IF(AB324=0,"Vous n'avez pas indiqué de chiffre d'affaires de référence",IF(AB321&lt;AB324*0.2,"Dans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Mars"))),IF(OR(AB314="OUI",AND(AB315="OUI",OR(AB310&gt;=0.8,AB311&gt;=0.8,AB312&gt;=0.1))),IF(AB322&gt;=0.7,IF(AB321&lt;AB324*0.2,"Dans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Mars")),IF(AB322&gt;=0.5,IF(AB321&lt;AB324*0.15,"Dans votre cas, la perte est inférieure à 15 % du CA, l'aide est donc plafonnée à la perte, soit "&amp;ROUND(AB321,0)&amp;" € pour le mois de Mars",IF(AB324*0.15&gt;=200000,"Dans votre cas, l'aide est plafonnée, à "&amp;Annexes!O8&amp;" € pour le mois de Mars","Vous pouvez bénéficier, au titre de cette aide, d'un montant de "&amp;ROUND(AB324*0.15,0)&amp;" € pour le mois de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au mois de Mars, ni des activités mentionnées en annexe 1 (S1) avec 50 % de perte en Mars ou en annexe 2 (S1 bis) ou 3 ou dans un centre commercial avec 70 % de Perte en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avec 20 % de perte au mois de Mars, ni des activités mentionnées en annexe 1 (S1) ou en annexe 2 (S1 bis) avec 50 % de perte en Mars ou 3 ou dans un centre commercial avec 70 % de Perte en Mars</v>
      </c>
      <c r="E343" s="451"/>
      <c r="F343" s="451"/>
      <c r="G343" s="451"/>
      <c r="H343" s="451"/>
      <c r="I343" s="451"/>
      <c r="J343" s="451"/>
      <c r="K343" s="451"/>
      <c r="L343" s="451"/>
      <c r="M343" s="451"/>
      <c r="N343" s="451"/>
      <c r="O343" s="452"/>
      <c r="P343" s="269"/>
      <c r="Q343" s="269"/>
      <c r="T343" s="14"/>
      <c r="U343" s="1"/>
      <c r="V343" s="1"/>
      <c r="W343" s="1"/>
      <c r="X343" s="1"/>
      <c r="Y343" s="1"/>
      <c r="Z343" s="1"/>
      <c r="AA343" s="1"/>
      <c r="AB343" s="1"/>
      <c r="AC343" s="1"/>
      <c r="AD343" s="1"/>
      <c r="AE343" s="13"/>
    </row>
    <row r="344" spans="2:31" ht="16.5" hidden="1" customHeight="1">
      <c r="B344" s="103"/>
      <c r="C344" s="181"/>
      <c r="D344" s="453"/>
      <c r="E344" s="454"/>
      <c r="F344" s="454"/>
      <c r="G344" s="454"/>
      <c r="H344" s="454"/>
      <c r="I344" s="454"/>
      <c r="J344" s="454"/>
      <c r="K344" s="454"/>
      <c r="L344" s="454"/>
      <c r="M344" s="454"/>
      <c r="N344" s="454"/>
      <c r="O344" s="455"/>
      <c r="P344" s="269"/>
      <c r="Q344" s="269"/>
      <c r="T344" s="14"/>
      <c r="U344" s="1"/>
      <c r="V344" s="1"/>
      <c r="W344" s="1"/>
      <c r="X344" s="1"/>
      <c r="Y344" s="1"/>
      <c r="Z344" s="1"/>
      <c r="AA344" s="1"/>
      <c r="AB344" s="1"/>
      <c r="AC344" s="1"/>
      <c r="AD344" s="1"/>
      <c r="AE344" s="13"/>
    </row>
    <row r="345" spans="2:31" ht="16.5" hidden="1" customHeight="1">
      <c r="B345" s="103"/>
      <c r="C345" s="181"/>
      <c r="D345" s="453"/>
      <c r="E345" s="454"/>
      <c r="F345" s="454"/>
      <c r="G345" s="454"/>
      <c r="H345" s="454"/>
      <c r="I345" s="454"/>
      <c r="J345" s="454"/>
      <c r="K345" s="454"/>
      <c r="L345" s="454"/>
      <c r="M345" s="454"/>
      <c r="N345" s="454"/>
      <c r="O345" s="455"/>
      <c r="P345" s="176"/>
      <c r="Q345" s="176"/>
      <c r="T345" s="14"/>
      <c r="U345" s="1"/>
      <c r="V345" s="1"/>
      <c r="W345" s="1"/>
      <c r="X345" s="1"/>
      <c r="Y345" s="1"/>
      <c r="Z345" s="1"/>
      <c r="AA345" s="1"/>
      <c r="AB345" s="1"/>
      <c r="AC345" s="1"/>
      <c r="AD345" s="1"/>
      <c r="AE345" s="13"/>
    </row>
    <row r="346" spans="2:31" ht="16.5" hidden="1" customHeight="1" thickBot="1">
      <c r="B346" s="103"/>
      <c r="C346" s="181"/>
      <c r="D346" s="456"/>
      <c r="E346" s="457"/>
      <c r="F346" s="457"/>
      <c r="G346" s="457"/>
      <c r="H346" s="457"/>
      <c r="I346" s="457"/>
      <c r="J346" s="457"/>
      <c r="K346" s="457"/>
      <c r="L346" s="457"/>
      <c r="M346" s="457"/>
      <c r="N346" s="457"/>
      <c r="O346" s="458"/>
      <c r="T346" s="14"/>
      <c r="U346" s="1"/>
      <c r="V346" s="1"/>
      <c r="W346" s="1"/>
      <c r="X346" s="1"/>
      <c r="Y346" s="1"/>
      <c r="Z346" s="1"/>
      <c r="AA346" s="1"/>
      <c r="AB346" s="1"/>
      <c r="AC346" s="1"/>
      <c r="AD346" s="1"/>
      <c r="AE346" s="13"/>
    </row>
    <row r="347" spans="2:31" ht="16.5" hidden="1" customHeight="1">
      <c r="B347" s="103"/>
      <c r="C347" s="324"/>
      <c r="D347" s="331"/>
      <c r="E347" s="331"/>
      <c r="F347" s="331"/>
      <c r="G347" s="331"/>
      <c r="H347" s="331"/>
      <c r="I347" s="331"/>
      <c r="J347" s="331"/>
      <c r="K347" s="331"/>
      <c r="L347" s="331"/>
      <c r="M347" s="331"/>
      <c r="N347" s="331"/>
      <c r="O347" s="331"/>
      <c r="T347" s="14"/>
      <c r="U347" s="1"/>
      <c r="V347" s="1"/>
      <c r="W347" s="1"/>
      <c r="X347" s="1"/>
      <c r="Y347" s="1"/>
      <c r="Z347" s="1"/>
      <c r="AA347" s="1"/>
      <c r="AB347" s="1"/>
      <c r="AC347" s="1"/>
      <c r="AD347" s="1"/>
      <c r="AE347" s="13"/>
    </row>
    <row r="348" spans="2:31" ht="16.5" customHeight="1">
      <c r="B348" s="103"/>
      <c r="C348" s="324"/>
      <c r="D348" s="331"/>
      <c r="E348" s="331"/>
      <c r="F348" s="331"/>
      <c r="G348" s="331"/>
      <c r="H348" s="331"/>
      <c r="I348" s="331"/>
      <c r="J348" s="331"/>
      <c r="K348" s="331"/>
      <c r="L348" s="331"/>
      <c r="M348" s="331"/>
      <c r="N348" s="331"/>
      <c r="O348" s="331"/>
      <c r="T348" s="14"/>
      <c r="U348" s="1"/>
      <c r="V348" s="1"/>
      <c r="W348" s="1"/>
      <c r="X348" s="1"/>
      <c r="Y348" s="1"/>
      <c r="Z348" s="1"/>
      <c r="AA348" s="1"/>
      <c r="AB348" s="1"/>
      <c r="AC348" s="1"/>
      <c r="AD348" s="1"/>
      <c r="AE348" s="13"/>
    </row>
    <row r="349" spans="2:31" ht="16.5" customHeight="1">
      <c r="B349" s="5"/>
      <c r="C349" s="5"/>
      <c r="D349" s="255"/>
      <c r="E349" s="255"/>
      <c r="F349" s="255"/>
      <c r="G349" s="255"/>
      <c r="H349" s="255"/>
      <c r="I349" s="255"/>
      <c r="J349" s="255"/>
      <c r="K349" s="255"/>
      <c r="L349" s="255"/>
      <c r="M349" s="255"/>
      <c r="N349" s="255"/>
      <c r="O349" s="255"/>
      <c r="P349" s="178"/>
      <c r="Q349" s="178"/>
      <c r="T349" s="14"/>
      <c r="U349" s="1"/>
      <c r="V349" s="1"/>
      <c r="W349" s="1"/>
      <c r="X349" s="1"/>
      <c r="Y349" s="1"/>
      <c r="Z349" s="1"/>
      <c r="AA349" s="1"/>
      <c r="AB349" s="1"/>
      <c r="AC349" s="1"/>
      <c r="AD349" s="1"/>
      <c r="AE349" s="13"/>
    </row>
    <row r="350" spans="2:31" ht="16.5" thickBot="1">
      <c r="B350" s="221"/>
      <c r="C350" s="433" t="s">
        <v>435</v>
      </c>
      <c r="D350" s="433"/>
      <c r="E350" s="433"/>
      <c r="F350" s="433"/>
      <c r="G350" s="433"/>
      <c r="H350" s="433"/>
      <c r="I350" s="222"/>
      <c r="J350" s="222"/>
      <c r="K350" s="222"/>
      <c r="L350" s="222"/>
      <c r="M350" s="222"/>
      <c r="N350" s="222"/>
      <c r="O350" s="222"/>
      <c r="T350" s="16"/>
      <c r="U350" s="11"/>
      <c r="V350" s="11"/>
      <c r="W350" s="11"/>
      <c r="X350" s="11"/>
      <c r="Y350" s="11"/>
      <c r="Z350" s="11"/>
      <c r="AA350" s="11"/>
      <c r="AB350" s="11"/>
      <c r="AC350" s="11"/>
      <c r="AD350" s="11"/>
      <c r="AE350" s="12"/>
    </row>
    <row r="351" spans="2:31" ht="15" customHeight="1">
      <c r="B351" s="63"/>
      <c r="C351" s="24"/>
      <c r="D351" s="24"/>
      <c r="E351" s="24"/>
      <c r="F351" s="24"/>
      <c r="G351" s="24"/>
      <c r="H351" s="63"/>
      <c r="I351" s="1"/>
      <c r="J351" s="1"/>
      <c r="K351" s="1"/>
      <c r="L351" s="1"/>
      <c r="M351" s="1"/>
      <c r="N351" s="1"/>
      <c r="O351" s="1"/>
      <c r="T351" s="14"/>
      <c r="U351" s="1"/>
      <c r="V351" s="1"/>
      <c r="W351" s="1"/>
      <c r="X351" s="1"/>
      <c r="Y351" s="1"/>
      <c r="Z351" s="1"/>
      <c r="AA351" s="1"/>
      <c r="AB351" s="1"/>
      <c r="AC351" s="1"/>
      <c r="AD351" s="1"/>
      <c r="AE351" s="13"/>
    </row>
    <row r="352" spans="2:31" ht="15" hidden="1" customHeight="1">
      <c r="B352" s="103"/>
      <c r="C352" s="434" t="s">
        <v>442</v>
      </c>
      <c r="D352" s="434"/>
      <c r="E352" s="434"/>
      <c r="F352" s="434"/>
      <c r="G352" s="434"/>
      <c r="H352" s="434"/>
      <c r="I352" s="434"/>
      <c r="J352" s="434"/>
      <c r="K352" s="434"/>
      <c r="L352" s="434"/>
      <c r="M352" s="434"/>
      <c r="N352" s="434"/>
      <c r="O352" s="434"/>
      <c r="P352" s="1"/>
      <c r="T352" s="25"/>
      <c r="U352" s="435" t="s">
        <v>20</v>
      </c>
      <c r="V352" s="435"/>
      <c r="W352" s="435"/>
      <c r="X352" s="1"/>
      <c r="Y352" s="310" t="s">
        <v>6</v>
      </c>
      <c r="Z352" s="310"/>
      <c r="AA352" s="310"/>
      <c r="AB352" s="310" t="s">
        <v>23</v>
      </c>
      <c r="AC352" s="310"/>
      <c r="AD352" s="310"/>
      <c r="AE352" s="26" t="s">
        <v>24</v>
      </c>
    </row>
    <row r="353" spans="2:31" ht="15.75" hidden="1" customHeight="1">
      <c r="B353" s="103"/>
      <c r="C353" s="304"/>
      <c r="D353" s="60" t="s">
        <v>436</v>
      </c>
      <c r="E353" s="304"/>
      <c r="F353" s="304"/>
      <c r="G353" s="304"/>
      <c r="H353" s="304"/>
      <c r="I353" s="304"/>
      <c r="J353" s="304"/>
      <c r="K353" s="304"/>
      <c r="L353" s="304"/>
      <c r="M353" s="304"/>
      <c r="N353" s="304"/>
      <c r="O353" s="304"/>
      <c r="P353" s="1"/>
      <c r="T353" s="25"/>
      <c r="U353" s="310"/>
      <c r="V353" s="310"/>
      <c r="W353" s="310"/>
      <c r="X353" s="1"/>
      <c r="Y353" s="310"/>
      <c r="Z353" s="310"/>
      <c r="AA353" s="310"/>
      <c r="AB353" s="310"/>
      <c r="AC353" s="310"/>
      <c r="AD353" s="310"/>
      <c r="AE353" s="26"/>
    </row>
    <row r="354" spans="2:31" ht="16.5" thickBot="1">
      <c r="B354" s="103"/>
      <c r="C354" s="304"/>
      <c r="D354" s="60"/>
      <c r="E354" s="304"/>
      <c r="F354" s="304"/>
      <c r="G354" s="304"/>
      <c r="H354" s="304"/>
      <c r="I354" s="304"/>
      <c r="J354" s="304"/>
      <c r="K354" s="304"/>
      <c r="L354" s="304"/>
      <c r="M354" s="304"/>
      <c r="N354" s="304"/>
      <c r="O354" s="304"/>
      <c r="P354" s="1"/>
      <c r="T354" s="436" t="s">
        <v>445</v>
      </c>
      <c r="U354" s="435"/>
      <c r="V354" s="435"/>
      <c r="W354" s="435"/>
      <c r="X354" s="1"/>
      <c r="Y354" s="7">
        <f>'Mon Entreprise'!I103</f>
        <v>0</v>
      </c>
      <c r="Z354" s="133"/>
      <c r="AA354" s="21"/>
      <c r="AB354" s="7">
        <f>IF('Mon Entreprise'!I103-'Mon Entreprise'!M103&lt;0,0,'Mon Entreprise'!I103-'Mon Entreprise'!M103)</f>
        <v>0</v>
      </c>
      <c r="AC354" s="13"/>
      <c r="AD354" s="1"/>
      <c r="AE354" s="27">
        <f>IFERROR(1-'Mon Entreprise'!M103/'Mon Entreprise'!I103,0)</f>
        <v>0</v>
      </c>
    </row>
    <row r="355" spans="2:31" ht="15.75">
      <c r="B355" s="103"/>
      <c r="C355" s="304"/>
      <c r="D355" s="437" t="str">
        <f>IFERROR(IF(AND(AB398=0,AB399=0,AB400=0),"Vous ne pouvez pas bénéficier du fonds de solidarité pour le mois d'Avril 2021",IF(AND(AB400&gt;AB399,AB400&gt;AB398),"Votre entreprise peut bénéficier d'une aide de "&amp;AB400&amp;"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d'outre-mer",IF(AB399&gt;AB398,"Votre entreprise peut bénéficier d'une aide de "&amp;AB399&amp;"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"&amp;AB398&amp;" €, au titre d'une perte d'au-moins 50 % de votre CA en Avril 2021"))),"Vous n'avez pas indiqué de chiffre d'affaires de référence")</f>
        <v>Vous ne pouvez pas bénéficier du fonds de solidarité pour le mois d'Avril 2021</v>
      </c>
      <c r="E355" s="438"/>
      <c r="F355" s="438"/>
      <c r="G355" s="438"/>
      <c r="H355" s="438"/>
      <c r="I355" s="438"/>
      <c r="J355" s="438"/>
      <c r="K355" s="438"/>
      <c r="L355" s="438"/>
      <c r="M355" s="438"/>
      <c r="N355" s="438"/>
      <c r="O355" s="439"/>
      <c r="P355" s="1"/>
      <c r="T355" s="436" t="s">
        <v>25</v>
      </c>
      <c r="U355" s="435"/>
      <c r="V355" s="435"/>
      <c r="W355" s="435"/>
      <c r="X355" s="1"/>
      <c r="Y355" s="7">
        <f>'Mon Entreprise'!I73</f>
        <v>0</v>
      </c>
      <c r="Z355" s="133"/>
      <c r="AA355" s="21"/>
      <c r="AB355" s="7">
        <f>IF('Mon Entreprise'!I73-'Mon Entreprise'!M103&lt;0,0,'Mon Entreprise'!I73-'Mon Entreprise'!M103)</f>
        <v>0</v>
      </c>
      <c r="AC355" s="36"/>
      <c r="AD355" s="1"/>
      <c r="AE355" s="27">
        <f>IFERROR(1-'Mon Entreprise'!M103/'Mon Entreprise'!I73,0)</f>
        <v>0</v>
      </c>
    </row>
    <row r="356" spans="2:31" ht="15.75" customHeight="1">
      <c r="B356" s="103"/>
      <c r="C356" s="304"/>
      <c r="D356" s="440"/>
      <c r="E356" s="441"/>
      <c r="F356" s="441"/>
      <c r="G356" s="441"/>
      <c r="H356" s="441"/>
      <c r="I356" s="441"/>
      <c r="J356" s="441"/>
      <c r="K356" s="441"/>
      <c r="L356" s="441"/>
      <c r="M356" s="441"/>
      <c r="N356" s="441"/>
      <c r="O356" s="442"/>
      <c r="P356" s="1"/>
      <c r="T356" s="446" t="s">
        <v>22</v>
      </c>
      <c r="U356" s="447"/>
      <c r="V356" s="447"/>
      <c r="W356" s="447"/>
      <c r="X356" s="139"/>
      <c r="Y356" s="140" t="str">
        <f>IF('Mon Entreprise'!I110="","NC",'Mon Entreprise'!I110)</f>
        <v>NC</v>
      </c>
      <c r="Z356" s="192"/>
      <c r="AA356" s="193"/>
      <c r="AB356" s="143">
        <f>IFERROR(IF('Mon Entreprise'!I110-'Mon Entreprise'!M103&lt;0,0,'Mon Entreprise'!I110-'Mon Entreprise'!M103),"NC")</f>
        <v>0</v>
      </c>
      <c r="AC356" s="194"/>
      <c r="AD356" s="139"/>
      <c r="AE356" s="146" t="str">
        <f>IFERROR(1-'Mon Entreprise'!M103/'Mon Entreprise'!I110,"NC")</f>
        <v>NC</v>
      </c>
    </row>
    <row r="357" spans="2:31" ht="15.75" customHeight="1">
      <c r="B357" s="103"/>
      <c r="C357" s="304"/>
      <c r="D357" s="440"/>
      <c r="E357" s="441"/>
      <c r="F357" s="441"/>
      <c r="G357" s="441"/>
      <c r="H357" s="441"/>
      <c r="I357" s="441"/>
      <c r="J357" s="441"/>
      <c r="K357" s="441"/>
      <c r="L357" s="441"/>
      <c r="M357" s="441"/>
      <c r="N357" s="441"/>
      <c r="O357" s="442"/>
      <c r="P357" s="1"/>
      <c r="T357" s="305"/>
      <c r="U357" s="306"/>
      <c r="V357" s="306"/>
      <c r="W357" s="306"/>
      <c r="X357" s="139"/>
      <c r="Y357" s="140"/>
      <c r="Z357" s="141"/>
      <c r="AA357" s="193"/>
      <c r="AB357" s="143"/>
      <c r="AC357" s="306"/>
      <c r="AD357" s="139"/>
      <c r="AE357" s="146"/>
    </row>
    <row r="358" spans="2:31" ht="15.75" customHeight="1">
      <c r="B358" s="103"/>
      <c r="C358" s="304"/>
      <c r="D358" s="440"/>
      <c r="E358" s="441"/>
      <c r="F358" s="441"/>
      <c r="G358" s="441"/>
      <c r="H358" s="441"/>
      <c r="I358" s="441"/>
      <c r="J358" s="441"/>
      <c r="K358" s="441"/>
      <c r="L358" s="441"/>
      <c r="M358" s="441"/>
      <c r="N358" s="441"/>
      <c r="O358" s="442"/>
      <c r="P358" s="1"/>
      <c r="T358" s="14"/>
      <c r="U358" s="1"/>
      <c r="V358" s="1"/>
      <c r="W358" s="1"/>
      <c r="X358" s="1"/>
      <c r="Y358" s="1"/>
      <c r="Z358" s="1"/>
      <c r="AA358" s="1"/>
      <c r="AB358" s="1"/>
      <c r="AC358" s="1"/>
      <c r="AD358" s="1"/>
      <c r="AE358" s="13"/>
    </row>
    <row r="359" spans="2:31" ht="15.75" customHeight="1">
      <c r="B359" s="103"/>
      <c r="C359" s="304"/>
      <c r="D359" s="440"/>
      <c r="E359" s="441"/>
      <c r="F359" s="441"/>
      <c r="G359" s="441"/>
      <c r="H359" s="441"/>
      <c r="I359" s="441"/>
      <c r="J359" s="441"/>
      <c r="K359" s="441"/>
      <c r="L359" s="441"/>
      <c r="M359" s="441"/>
      <c r="N359" s="441"/>
      <c r="O359" s="442"/>
      <c r="P359" s="1"/>
      <c r="T359" s="14"/>
      <c r="AC359" s="1"/>
      <c r="AD359" s="1"/>
      <c r="AE359" s="13"/>
    </row>
    <row r="360" spans="2:31" ht="15.75" customHeight="1" thickBot="1">
      <c r="B360" s="103"/>
      <c r="C360" s="304"/>
      <c r="D360" s="443"/>
      <c r="E360" s="444"/>
      <c r="F360" s="444"/>
      <c r="G360" s="444"/>
      <c r="H360" s="444"/>
      <c r="I360" s="444"/>
      <c r="J360" s="444"/>
      <c r="K360" s="444"/>
      <c r="L360" s="444"/>
      <c r="M360" s="444"/>
      <c r="N360" s="444"/>
      <c r="O360" s="445"/>
      <c r="P360" s="1"/>
      <c r="T360" s="14"/>
      <c r="AC360" s="1"/>
      <c r="AD360" s="1"/>
      <c r="AE360" s="13"/>
    </row>
    <row r="361" spans="2:31" ht="16.5" customHeight="1">
      <c r="B361" s="103"/>
      <c r="C361" s="304"/>
      <c r="D361" s="344" t="s">
        <v>444</v>
      </c>
      <c r="E361" s="304"/>
      <c r="F361" s="304"/>
      <c r="G361" s="304"/>
      <c r="H361" s="304"/>
      <c r="I361" s="304"/>
      <c r="J361" s="304"/>
      <c r="K361" s="304"/>
      <c r="L361" s="304"/>
      <c r="M361" s="304"/>
      <c r="N361" s="304"/>
      <c r="O361" s="304"/>
      <c r="P361" s="1"/>
      <c r="T361" s="14"/>
      <c r="AC361" s="1"/>
      <c r="AD361" s="1"/>
      <c r="AE361" s="13"/>
    </row>
    <row r="362" spans="2:31" ht="15.75" hidden="1">
      <c r="B362" s="103"/>
      <c r="C362" s="78"/>
      <c r="D362" s="78"/>
      <c r="E362" s="78"/>
      <c r="F362" s="78"/>
      <c r="G362" s="78"/>
      <c r="H362" s="78"/>
      <c r="I362" s="78"/>
      <c r="J362" s="78"/>
      <c r="K362" s="78"/>
      <c r="L362" s="78"/>
      <c r="M362" s="78"/>
      <c r="N362" s="78"/>
      <c r="O362" s="78"/>
      <c r="P362" s="1"/>
      <c r="T362" s="14"/>
      <c r="U362" s="1"/>
      <c r="V362" s="1"/>
      <c r="W362" s="1"/>
      <c r="X362" s="1"/>
      <c r="Y362" s="1"/>
      <c r="Z362" s="1"/>
      <c r="AA362" s="1"/>
      <c r="AB362" s="1"/>
      <c r="AC362" s="1"/>
      <c r="AD362" s="1"/>
      <c r="AE362" s="13"/>
    </row>
    <row r="363" spans="2:31" ht="15.75" hidden="1">
      <c r="B363" s="103"/>
      <c r="C363" s="304"/>
      <c r="D363" s="60"/>
      <c r="E363" s="304"/>
      <c r="F363" s="304"/>
      <c r="G363" s="304"/>
      <c r="H363" s="304"/>
      <c r="I363" s="304"/>
      <c r="J363" s="304"/>
      <c r="K363" s="304"/>
      <c r="L363" s="304"/>
      <c r="M363" s="304"/>
      <c r="N363" s="304"/>
      <c r="O363" s="304"/>
      <c r="P363" s="1"/>
      <c r="T363" s="14"/>
      <c r="U363" s="1"/>
      <c r="V363" s="1"/>
      <c r="W363" s="1"/>
      <c r="X363" s="1"/>
      <c r="Y363" s="1"/>
      <c r="Z363" s="1"/>
      <c r="AA363" s="1"/>
      <c r="AB363" s="1"/>
      <c r="AC363" s="1"/>
      <c r="AD363" s="1"/>
      <c r="AE363" s="13"/>
    </row>
    <row r="364" spans="2:31" ht="15.75" hidden="1">
      <c r="B364" s="103"/>
      <c r="C364" s="304" t="s">
        <v>443</v>
      </c>
      <c r="D364" s="60"/>
      <c r="E364" s="304"/>
      <c r="F364" s="304"/>
      <c r="G364" s="304"/>
      <c r="H364" s="304"/>
      <c r="I364" s="304"/>
      <c r="J364" s="304"/>
      <c r="K364" s="304"/>
      <c r="L364" s="304"/>
      <c r="M364" s="304"/>
      <c r="N364" s="304"/>
      <c r="O364" s="304"/>
      <c r="P364" s="1"/>
      <c r="T364" s="14"/>
      <c r="U364" s="1"/>
      <c r="V364" s="1"/>
      <c r="W364" s="1"/>
      <c r="X364" s="1"/>
      <c r="Y364" s="1"/>
      <c r="Z364" s="1"/>
      <c r="AA364" s="1"/>
      <c r="AB364" s="1"/>
      <c r="AC364" s="1"/>
      <c r="AD364" s="1"/>
      <c r="AE364" s="13"/>
    </row>
    <row r="365" spans="2:31" ht="15.75" hidden="1">
      <c r="B365" s="103"/>
      <c r="C365" s="300" t="s">
        <v>437</v>
      </c>
      <c r="D365" s="60"/>
      <c r="E365" s="304"/>
      <c r="F365" s="304"/>
      <c r="G365" s="304"/>
      <c r="H365" s="304"/>
      <c r="I365" s="304"/>
      <c r="J365" s="304"/>
      <c r="K365" s="304"/>
      <c r="L365" s="304"/>
      <c r="M365" s="304"/>
      <c r="N365" s="304"/>
      <c r="O365" s="304"/>
      <c r="P365" s="1"/>
      <c r="T365" s="14"/>
      <c r="U365" s="448" t="s">
        <v>72</v>
      </c>
      <c r="V365" s="448"/>
      <c r="W365" s="448"/>
      <c r="X365" s="448"/>
      <c r="Y365" s="448"/>
      <c r="Z365" s="1"/>
      <c r="AA365" s="14"/>
      <c r="AB365" s="306" t="str">
        <f>IF('Mon Entreprise'!K8&lt;=Annexes!R15,"Oui","Non")</f>
        <v>Oui</v>
      </c>
      <c r="AC365" s="1"/>
      <c r="AD365" s="1"/>
      <c r="AE365" s="13"/>
    </row>
    <row r="366" spans="2:31" ht="15.75" hidden="1">
      <c r="B366" s="169"/>
      <c r="C366" s="304"/>
      <c r="D366" s="60" t="str">
        <f>IFERROR(IF('Mon Entreprise'!K8&gt;=Annexes!O20,IF(AB354&gt;=AB356,"Le CA de référence est celui d'Avril 2019, soit une perte de "&amp;ROUND(AB354,0)&amp;" €"&amp;" ==&gt; "&amp;ROUND(AE354*100,0)&amp;" %","Le CA de référence est celui de la création, soit une perte de "&amp;ROUND(AB356,0)&amp;" €"&amp;" ==&gt; "&amp;ROUND(AE356*100,0)&amp;" %"),IF(AB354&gt;=AB355,"Le CA de référence est celui d'Avril 2019, soit une perte de "&amp;ROUND(AB354,0)&amp;" €"&amp;" ==&gt; "&amp;ROUND(AE354*100,0)&amp;" %","Le CA de référence est celui de l'exercice 2019, soit une perte de "&amp;ROUND(AB355,0)&amp;" €"&amp;" ==&gt; "&amp;ROUND(AE355*100,0)&amp;" %")),"")</f>
        <v>Le CA de référence est celui d'Avril 2019, soit une perte de 0 € ==&gt; 0 %</v>
      </c>
      <c r="E366" s="304"/>
      <c r="F366" s="304"/>
      <c r="G366" s="304"/>
      <c r="H366" s="304"/>
      <c r="I366" s="304"/>
      <c r="J366" s="304"/>
      <c r="K366" s="304"/>
      <c r="L366" s="304"/>
      <c r="M366" s="304"/>
      <c r="N366" s="304"/>
      <c r="O366" s="304"/>
      <c r="P366" s="1"/>
      <c r="T366" s="14"/>
      <c r="U366" s="302"/>
      <c r="V366" s="448" t="s">
        <v>393</v>
      </c>
      <c r="W366" s="448"/>
      <c r="X366" s="448"/>
      <c r="Y366" s="448"/>
      <c r="Z366" s="1"/>
      <c r="AA366" s="14"/>
      <c r="AB366" s="306">
        <f>IF('Mon Entreprise'!K8&gt;=Annexes!O20,IF(Y354&gt;=Y356,Y354,Y356),IF(Y354&gt;=Y355,Y354,Y355))</f>
        <v>0</v>
      </c>
      <c r="AC366" s="1"/>
      <c r="AD366" s="1"/>
      <c r="AE366" s="13"/>
    </row>
    <row r="367" spans="2:31" ht="15.75" hidden="1">
      <c r="B367" s="169"/>
      <c r="C367" s="304"/>
      <c r="D367" s="449" t="str">
        <f>IFERROR(IF('Mon Entreprise'!K8&gt;=Annexes!O20,"",IF(AB354&lt;AB355,"A noter qu'il convient de choisir l'option retenue par l'entreprise lors de sa demande au titre du mois Février 2021, ou a défaut celui du mois de Mars 2021, si le CA de référence était celui de février 2019, il convient de prendre"&amp;" celui d'Avril 2019 (...), soit "&amp;ROUND(AB354,0)&amp;" €"&amp;" ==&gt; "&amp;ROUND(AE354*100,0)&amp;" %","A noter qu'il convient de choisir l'option retenue par l'entreprise lors de sa demande au titre du mois Février 2021, ou "&amp;"a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67" s="449"/>
      <c r="F367" s="449"/>
      <c r="G367" s="449"/>
      <c r="H367" s="449"/>
      <c r="I367" s="449"/>
      <c r="J367" s="449"/>
      <c r="K367" s="449"/>
      <c r="L367" s="449"/>
      <c r="M367" s="449"/>
      <c r="N367" s="449"/>
      <c r="O367" s="449"/>
      <c r="P367" s="1"/>
      <c r="T367" s="14"/>
      <c r="U367" s="448" t="s">
        <v>84</v>
      </c>
      <c r="V367" s="448"/>
      <c r="W367" s="448"/>
      <c r="X367" s="448"/>
      <c r="Y367" s="448"/>
      <c r="Z367" s="1"/>
      <c r="AA367" s="14"/>
      <c r="AB367" s="303">
        <f>IF('Mon Entreprise'!K8&gt;=Annexes!O20,IF(AB354&gt;=AB356,AB354,AB356),IF(AB354&gt;=AB355,AB354,AB355))</f>
        <v>0</v>
      </c>
      <c r="AC367" s="1"/>
      <c r="AD367" s="1"/>
      <c r="AE367" s="13"/>
    </row>
    <row r="368" spans="2:31" ht="15.75" hidden="1">
      <c r="B368" s="169"/>
      <c r="C368" s="304"/>
      <c r="D368" s="449"/>
      <c r="E368" s="449"/>
      <c r="F368" s="449"/>
      <c r="G368" s="449"/>
      <c r="H368" s="449"/>
      <c r="I368" s="449"/>
      <c r="J368" s="449"/>
      <c r="K368" s="449"/>
      <c r="L368" s="449"/>
      <c r="M368" s="449"/>
      <c r="N368" s="449"/>
      <c r="O368" s="449"/>
      <c r="P368" s="1"/>
      <c r="T368" s="14"/>
      <c r="U368" s="448" t="s">
        <v>85</v>
      </c>
      <c r="V368" s="448"/>
      <c r="W368" s="448"/>
      <c r="X368" s="448"/>
      <c r="Y368" s="448"/>
      <c r="Z368" s="1"/>
      <c r="AA368" s="14"/>
      <c r="AB368" s="19">
        <f>IF('Mon Entreprise'!K8&gt;=Annexes!O20,IF(AB354&gt;=AB356,AE354,AE356),IF(AB354&gt;=AB355,AE354,AE355))</f>
        <v>0</v>
      </c>
      <c r="AC368" s="1"/>
      <c r="AD368" s="1"/>
      <c r="AE368" s="13"/>
    </row>
    <row r="369" spans="1:31" ht="16.5" hidden="1" thickBot="1">
      <c r="B369" s="103"/>
      <c r="C369" s="304"/>
      <c r="D369" s="60"/>
      <c r="E369" s="304"/>
      <c r="F369" s="304"/>
      <c r="G369" s="304"/>
      <c r="H369" s="304"/>
      <c r="I369" s="304"/>
      <c r="J369" s="304"/>
      <c r="K369" s="304"/>
      <c r="L369" s="304"/>
      <c r="M369" s="304"/>
      <c r="N369" s="304"/>
      <c r="O369" s="304"/>
      <c r="P369" s="1"/>
      <c r="T369" s="14"/>
      <c r="U369" s="1"/>
      <c r="V369" s="1"/>
      <c r="W369" s="1"/>
      <c r="X369" s="1"/>
      <c r="Y369" s="1"/>
      <c r="Z369" s="1"/>
      <c r="AA369" s="1"/>
      <c r="AB369" s="1"/>
      <c r="AC369" s="1"/>
      <c r="AD369" s="1"/>
      <c r="AE369" s="13"/>
    </row>
    <row r="370" spans="1:31" ht="15.75" hidden="1">
      <c r="B370" s="169"/>
      <c r="C370" s="304"/>
      <c r="D370" s="450" t="str">
        <f>IFERROR(IF(AB365="Non","Vous avez débuté votre activité après le 31 Janvier 2020, vous ne pouvez donc pas bénéficier de cette aide",IF(OR(AB381=TRUE,AND(AB368&lt;0.5,AB382=TRUE),(AB368&gt;=0.5)),IF(AB367&gt;Annexes!O5,"Dans votre cas, l'aide est Plafonnée, à "&amp;Annexes!O5&amp;" € pour le mois d'Avril","Vous pouvez bénéficier, au titre de cette aide, d'un montant de "&amp;ROUND(AB367,0)&amp;" € pour le mois d'Avril"),"L'entreprise n'a pas une perte d'au moins 50 % en Avril 2021 ou n'a pas été en fermeture Administrative")),"Vous n'avez pas indiqué de chiffre d'affaires de référence")</f>
        <v>L'entreprise n'a pas une perte d'au moins 50 % en Avril 2021 ou n'a pas été en fermeture Administrative</v>
      </c>
      <c r="E370" s="451"/>
      <c r="F370" s="451"/>
      <c r="G370" s="451"/>
      <c r="H370" s="451"/>
      <c r="I370" s="451"/>
      <c r="J370" s="451"/>
      <c r="K370" s="451"/>
      <c r="L370" s="451"/>
      <c r="M370" s="451"/>
      <c r="N370" s="451"/>
      <c r="O370" s="452"/>
      <c r="P370" s="1"/>
      <c r="T370" s="14"/>
      <c r="U370" s="1"/>
      <c r="V370" s="1"/>
      <c r="W370" s="1"/>
      <c r="X370" s="1"/>
      <c r="Y370" s="1"/>
      <c r="Z370" s="1"/>
      <c r="AA370" s="1"/>
      <c r="AB370" s="1"/>
      <c r="AC370" s="1"/>
      <c r="AD370" s="1"/>
      <c r="AE370" s="13"/>
    </row>
    <row r="371" spans="1:31" ht="15.75" hidden="1" customHeight="1">
      <c r="B371" s="169"/>
      <c r="C371" s="304"/>
      <c r="D371" s="453"/>
      <c r="E371" s="454"/>
      <c r="F371" s="454"/>
      <c r="G371" s="454"/>
      <c r="H371" s="454"/>
      <c r="I371" s="454"/>
      <c r="J371" s="454"/>
      <c r="K371" s="454"/>
      <c r="L371" s="454"/>
      <c r="M371" s="454"/>
      <c r="N371" s="454"/>
      <c r="O371" s="455"/>
      <c r="P371" s="1"/>
      <c r="T371" s="14"/>
      <c r="U371" s="1"/>
      <c r="V371" s="1"/>
      <c r="W371" s="1"/>
      <c r="X371" s="1"/>
      <c r="Y371" s="1"/>
      <c r="Z371" s="1"/>
      <c r="AA371" s="1"/>
      <c r="AB371" s="1"/>
      <c r="AC371" s="1"/>
      <c r="AD371" s="1"/>
      <c r="AE371" s="13"/>
    </row>
    <row r="372" spans="1:31" ht="15.75" hidden="1" customHeight="1">
      <c r="B372" s="103"/>
      <c r="C372" s="304"/>
      <c r="D372" s="453"/>
      <c r="E372" s="454"/>
      <c r="F372" s="454"/>
      <c r="G372" s="454"/>
      <c r="H372" s="454"/>
      <c r="I372" s="454"/>
      <c r="J372" s="454"/>
      <c r="K372" s="454"/>
      <c r="L372" s="454"/>
      <c r="M372" s="454"/>
      <c r="N372" s="454"/>
      <c r="O372" s="455"/>
      <c r="P372" s="1"/>
      <c r="T372" s="14"/>
      <c r="U372" s="1"/>
      <c r="V372" s="1"/>
      <c r="W372" s="1"/>
      <c r="X372" s="1"/>
      <c r="Y372" s="1"/>
      <c r="Z372" s="1"/>
      <c r="AA372" s="1"/>
      <c r="AB372" s="1"/>
      <c r="AC372" s="1"/>
      <c r="AD372" s="1"/>
      <c r="AE372" s="13"/>
    </row>
    <row r="373" spans="1:31" ht="15.75" hidden="1" customHeight="1" thickBot="1">
      <c r="B373" s="103"/>
      <c r="C373" s="304"/>
      <c r="D373" s="456"/>
      <c r="E373" s="457"/>
      <c r="F373" s="457"/>
      <c r="G373" s="457"/>
      <c r="H373" s="457"/>
      <c r="I373" s="457"/>
      <c r="J373" s="457"/>
      <c r="K373" s="457"/>
      <c r="L373" s="457"/>
      <c r="M373" s="457"/>
      <c r="N373" s="457"/>
      <c r="O373" s="458"/>
      <c r="P373" s="1"/>
      <c r="T373" s="14"/>
      <c r="U373" s="1"/>
      <c r="V373" s="1"/>
      <c r="W373" s="1"/>
      <c r="X373" s="1"/>
      <c r="Y373" s="1"/>
      <c r="Z373" s="1"/>
      <c r="AA373" s="1"/>
      <c r="AB373" s="1"/>
      <c r="AC373" s="1"/>
      <c r="AD373" s="1"/>
      <c r="AE373" s="13"/>
    </row>
    <row r="374" spans="1:31" ht="16.5" hidden="1" customHeight="1">
      <c r="B374" s="103"/>
      <c r="C374" s="170"/>
      <c r="D374" s="459"/>
      <c r="E374" s="459"/>
      <c r="F374" s="459"/>
      <c r="G374" s="459"/>
      <c r="H374" s="459"/>
      <c r="I374" s="459"/>
      <c r="J374" s="459"/>
      <c r="K374" s="459"/>
      <c r="L374" s="459"/>
      <c r="M374" s="459"/>
      <c r="N374" s="459"/>
      <c r="O374" s="459"/>
      <c r="P374" s="1"/>
      <c r="T374" s="460" t="s">
        <v>4</v>
      </c>
      <c r="U374" s="461"/>
      <c r="V374" s="461"/>
      <c r="W374" s="461"/>
      <c r="X374" s="461"/>
      <c r="Y374" s="461"/>
      <c r="Z374" s="139"/>
      <c r="AA374" s="145"/>
      <c r="AB374" s="195">
        <f>IFERROR(IF('Mon Entreprise'!K8&gt;=Annexes!Q18,0,1-'Mon Entreprise'!M93/2/AB366),0)</f>
        <v>0</v>
      </c>
      <c r="AC374" s="1"/>
      <c r="AD374" s="1"/>
      <c r="AE374" s="13"/>
    </row>
    <row r="375" spans="1:31" ht="16.5" hidden="1" customHeight="1">
      <c r="B375" s="103"/>
      <c r="C375" s="304"/>
      <c r="D375" s="309"/>
      <c r="E375" s="309"/>
      <c r="F375" s="309"/>
      <c r="G375" s="309"/>
      <c r="H375" s="309"/>
      <c r="I375" s="309"/>
      <c r="J375" s="309"/>
      <c r="K375" s="309"/>
      <c r="L375" s="309"/>
      <c r="M375" s="309"/>
      <c r="N375" s="309"/>
      <c r="O375" s="309"/>
      <c r="P375" s="1"/>
      <c r="T375" s="110"/>
      <c r="U375" s="462" t="s">
        <v>102</v>
      </c>
      <c r="V375" s="462"/>
      <c r="W375" s="462"/>
      <c r="X375" s="462"/>
      <c r="Y375" s="462"/>
      <c r="Z375" s="139"/>
      <c r="AA375" s="145"/>
      <c r="AB375" s="195">
        <f>IFERROR(IF('Mon Entreprise'!K8&gt;Annexes!Q29,0,IF('Mon Entreprise'!K8&gt;Annexes!Q26,1,1-'Mon Entreprise'!M89/AB366)),0)</f>
        <v>0</v>
      </c>
      <c r="AC375" s="1"/>
      <c r="AD375" s="1"/>
      <c r="AE375" s="13"/>
    </row>
    <row r="376" spans="1:31" ht="16.5" hidden="1" customHeight="1">
      <c r="B376" s="103"/>
      <c r="C376" s="463" t="s">
        <v>453</v>
      </c>
      <c r="D376" s="463"/>
      <c r="E376" s="463"/>
      <c r="F376" s="463"/>
      <c r="G376" s="463"/>
      <c r="H376" s="463"/>
      <c r="I376" s="463"/>
      <c r="J376" s="463"/>
      <c r="K376" s="463"/>
      <c r="L376" s="463"/>
      <c r="M376" s="463"/>
      <c r="N376" s="463"/>
      <c r="O376" s="463"/>
      <c r="P376" s="1"/>
      <c r="T376" s="110"/>
      <c r="U376" s="462" t="s">
        <v>109</v>
      </c>
      <c r="V376" s="462"/>
      <c r="W376" s="462"/>
      <c r="X376" s="462"/>
      <c r="Y376" s="462"/>
      <c r="Z376" s="139"/>
      <c r="AA376" s="145"/>
      <c r="AB376" s="195">
        <f>IFERROR(IF(Annexes!O27&gt;'Mon Entreprise'!K8,1-'Mon Entreprise'!M73/'Mon Entreprise'!I73,0),0)</f>
        <v>0</v>
      </c>
      <c r="AC376" s="1"/>
      <c r="AD376" s="1"/>
      <c r="AE376" s="13"/>
    </row>
    <row r="377" spans="1:31" ht="16.5" hidden="1" customHeight="1">
      <c r="B377" s="103"/>
      <c r="C377" s="463"/>
      <c r="D377" s="463"/>
      <c r="E377" s="463"/>
      <c r="F377" s="463"/>
      <c r="G377" s="463"/>
      <c r="H377" s="463"/>
      <c r="I377" s="463"/>
      <c r="J377" s="463"/>
      <c r="K377" s="463"/>
      <c r="L377" s="463"/>
      <c r="M377" s="463"/>
      <c r="N377" s="463"/>
      <c r="O377" s="463"/>
      <c r="P377" s="1"/>
      <c r="T377" s="110"/>
      <c r="U377" s="308"/>
      <c r="V377" s="308"/>
      <c r="W377" s="308"/>
      <c r="X377" s="308"/>
      <c r="Y377" s="308"/>
      <c r="Z377" s="139"/>
      <c r="AA377" s="145"/>
      <c r="AB377" s="195"/>
      <c r="AC377" s="1"/>
      <c r="AD377" s="1"/>
      <c r="AE377" s="13"/>
    </row>
    <row r="378" spans="1:31" ht="16.5" hidden="1" customHeight="1">
      <c r="B378" s="103"/>
      <c r="C378" s="463"/>
      <c r="D378" s="463"/>
      <c r="E378" s="463"/>
      <c r="F378" s="463"/>
      <c r="G378" s="463"/>
      <c r="H378" s="463"/>
      <c r="I378" s="463"/>
      <c r="J378" s="463"/>
      <c r="K378" s="463"/>
      <c r="L378" s="463"/>
      <c r="M378" s="463"/>
      <c r="N378" s="463"/>
      <c r="O378" s="463"/>
      <c r="P378" s="1"/>
      <c r="T378" s="14"/>
      <c r="U378" s="464" t="s">
        <v>8</v>
      </c>
      <c r="V378" s="464"/>
      <c r="W378" s="464"/>
      <c r="X378" s="464"/>
      <c r="Y378" s="464"/>
      <c r="Z378" s="1"/>
      <c r="AA378" s="14"/>
      <c r="AB378" s="303" t="str">
        <f>IF((AND(Annexes!F5&gt;1,Annexes!F5&lt;=Annexes!H6)),"OUI","NON")</f>
        <v>NON</v>
      </c>
      <c r="AC378" s="1"/>
      <c r="AD378" s="1"/>
      <c r="AE378" s="13"/>
    </row>
    <row r="379" spans="1:31" ht="16.5" hidden="1" customHeight="1">
      <c r="B379" s="103"/>
      <c r="C379" s="463"/>
      <c r="D379" s="463"/>
      <c r="E379" s="463"/>
      <c r="F379" s="463"/>
      <c r="G379" s="463"/>
      <c r="H379" s="463"/>
      <c r="I379" s="463"/>
      <c r="J379" s="463"/>
      <c r="K379" s="463"/>
      <c r="L379" s="463"/>
      <c r="M379" s="463"/>
      <c r="N379" s="463"/>
      <c r="O379" s="463"/>
      <c r="P379" s="1"/>
      <c r="T379" s="14"/>
      <c r="U379" s="307"/>
      <c r="V379" s="307"/>
      <c r="W379" s="307"/>
      <c r="X379" s="307"/>
      <c r="Y379" s="307" t="s">
        <v>9</v>
      </c>
      <c r="Z379" s="1"/>
      <c r="AA379" s="14"/>
      <c r="AB379" s="303" t="str">
        <f>IF(AND(Annexes!F7&gt;1,Annexes!F7&lt;=Annexes!H8),"OUI","NON")</f>
        <v>NON</v>
      </c>
      <c r="AC379" s="1"/>
      <c r="AD379" s="1"/>
      <c r="AE379" s="13"/>
    </row>
    <row r="380" spans="1:31" ht="16.5" hidden="1" customHeight="1">
      <c r="B380" s="103"/>
      <c r="C380" s="304"/>
      <c r="D380" s="309"/>
      <c r="E380" s="359" t="str">
        <f>IF(AB384="NON","",IF(OR(AB378="OUI",AND(OR(AB380="OUI",AB379="OUI"),OR(AB374&gt;=Annexes!P5,AB375&gt;=Annexes!P5,'Mes Aides'!AB145&gt;=0.1)),AB381=TRUE,AB382=TRUE),"",IF(AND(OR(AB380="OUI",AB379="OUI"),OR(AB374&lt;Annexes!P5,AB375&lt;Annexes!P5,'Mes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380" s="359"/>
      <c r="G380" s="359"/>
      <c r="H380" s="359"/>
      <c r="I380" s="359"/>
      <c r="J380" s="359"/>
      <c r="K380" s="359"/>
      <c r="L380" s="359"/>
      <c r="M380" s="359"/>
      <c r="N380" s="359"/>
      <c r="O380" s="359"/>
      <c r="P380" s="1"/>
      <c r="T380" s="436" t="s">
        <v>456</v>
      </c>
      <c r="U380" s="435"/>
      <c r="V380" s="435"/>
      <c r="W380" s="435"/>
      <c r="X380" s="435"/>
      <c r="Y380" s="435"/>
      <c r="Z380" s="1"/>
      <c r="AA380" s="14"/>
      <c r="AB380" s="303" t="str">
        <f>IF(OR(Annexes!M17=TRUE,Annexes!M23=TRUE,Annexes!M24=TRUE),"OUI","NON")</f>
        <v>NON</v>
      </c>
      <c r="AC380" s="1"/>
      <c r="AD380" s="1"/>
      <c r="AE380" s="13"/>
    </row>
    <row r="381" spans="1:31" ht="16.5" hidden="1" customHeight="1">
      <c r="B381" s="103"/>
      <c r="C381" s="304"/>
      <c r="D381" s="309"/>
      <c r="E381" s="359"/>
      <c r="F381" s="359"/>
      <c r="G381" s="359"/>
      <c r="H381" s="359"/>
      <c r="I381" s="359"/>
      <c r="J381" s="359"/>
      <c r="K381" s="359"/>
      <c r="L381" s="359"/>
      <c r="M381" s="359"/>
      <c r="N381" s="359"/>
      <c r="O381" s="359"/>
      <c r="P381" s="1"/>
      <c r="T381" s="14"/>
      <c r="U381" s="435" t="s">
        <v>313</v>
      </c>
      <c r="V381" s="435"/>
      <c r="W381" s="435"/>
      <c r="X381" s="435"/>
      <c r="Y381" s="435"/>
      <c r="Z381" s="1"/>
      <c r="AA381" s="14"/>
      <c r="AB381" s="303" t="b">
        <f>IF(Annexes!M29=TRUE,TRUE,FALSE)</f>
        <v>0</v>
      </c>
      <c r="AC381" s="1"/>
      <c r="AD381" s="1"/>
      <c r="AE381" s="13"/>
    </row>
    <row r="382" spans="1:31" ht="16.5" hidden="1" customHeight="1">
      <c r="B382" s="169"/>
      <c r="C382" s="304"/>
      <c r="D382" s="309"/>
      <c r="E382" s="359"/>
      <c r="F382" s="359"/>
      <c r="G382" s="359"/>
      <c r="H382" s="359"/>
      <c r="I382" s="359"/>
      <c r="J382" s="359"/>
      <c r="K382" s="359"/>
      <c r="L382" s="359"/>
      <c r="M382" s="359"/>
      <c r="N382" s="359"/>
      <c r="O382" s="359"/>
      <c r="P382" s="1"/>
      <c r="T382" s="14"/>
      <c r="U382" s="435" t="s">
        <v>394</v>
      </c>
      <c r="V382" s="435"/>
      <c r="W382" s="435"/>
      <c r="X382" s="435"/>
      <c r="Y382" s="435"/>
      <c r="Z382" s="1"/>
      <c r="AA382" s="14"/>
      <c r="AB382" s="303" t="b">
        <f>IF(Annexes!M30=TRUE,TRUE,FALSE)</f>
        <v>0</v>
      </c>
      <c r="AC382" s="1"/>
      <c r="AD382" s="1"/>
      <c r="AE382" s="13"/>
    </row>
    <row r="383" spans="1:31" ht="16.5" hidden="1" customHeight="1">
      <c r="A383" s="99"/>
      <c r="B383" s="103"/>
      <c r="C383" s="304"/>
      <c r="D383" s="465"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383" s="465"/>
      <c r="F383" s="465"/>
      <c r="G383" s="465"/>
      <c r="H383" s="465"/>
      <c r="I383" s="465"/>
      <c r="J383" s="465"/>
      <c r="K383" s="465"/>
      <c r="L383" s="465"/>
      <c r="M383" s="465"/>
      <c r="N383" s="465"/>
      <c r="O383" s="465"/>
      <c r="P383" s="1"/>
      <c r="T383" s="14"/>
      <c r="U383" s="303"/>
      <c r="V383" s="303"/>
      <c r="W383" s="303"/>
      <c r="X383" s="303"/>
      <c r="Y383" s="303"/>
      <c r="Z383" s="1"/>
      <c r="AA383" s="14"/>
      <c r="AB383" s="303"/>
      <c r="AC383" s="1"/>
      <c r="AD383" s="1"/>
      <c r="AE383" s="13"/>
    </row>
    <row r="384" spans="1:31" ht="16.5" hidden="1" customHeight="1">
      <c r="A384" s="99"/>
      <c r="B384" s="103"/>
      <c r="C384" s="304"/>
      <c r="D384" s="466" t="str">
        <f>IFERROR(IF('Mon Entreprise'!K8&gt;=Annexes!O20,"",IF(AB354&lt;AB355,"A noter qu'il convient de choisir l'option retenue par l'entreprise lors de sa demande au titre du mois Février 2021, ou a défaut celui du mois de Mars 2021, si le CA de référence était celui de février 2019,"&amp;" il convient de prendre celui d'Avril 2019 (...), soit "&amp;ROUND(AB354,0)&amp;" €"&amp;" ==&gt; "&amp;ROUND(AE354*100,0)&amp;" %","A noter qu'il convient de choisir l'option retenue par l'entreprise lors de sa demande"&amp;" au titre du mois Février 2021,  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84" s="466"/>
      <c r="F384" s="466"/>
      <c r="G384" s="466"/>
      <c r="H384" s="466"/>
      <c r="I384" s="466"/>
      <c r="J384" s="466"/>
      <c r="K384" s="466"/>
      <c r="L384" s="466"/>
      <c r="M384" s="466"/>
      <c r="N384" s="466"/>
      <c r="O384" s="466"/>
      <c r="P384" s="1"/>
      <c r="T384" s="14"/>
      <c r="U384" s="467" t="s">
        <v>72</v>
      </c>
      <c r="V384" s="467"/>
      <c r="W384" s="467"/>
      <c r="X384" s="467"/>
      <c r="Y384" s="467"/>
      <c r="Z384" s="139"/>
      <c r="AA384" s="145"/>
      <c r="AB384" s="306" t="str">
        <f>IF(AB365="Oui","Oui","Non")</f>
        <v>Oui</v>
      </c>
      <c r="AC384" s="139"/>
      <c r="AD384" s="1"/>
      <c r="AE384" s="13"/>
    </row>
    <row r="385" spans="1:31" ht="16.5" hidden="1" customHeight="1">
      <c r="A385" s="99"/>
      <c r="B385" s="103"/>
      <c r="C385" s="304"/>
      <c r="D385" s="466"/>
      <c r="E385" s="466"/>
      <c r="F385" s="466"/>
      <c r="G385" s="466"/>
      <c r="H385" s="466"/>
      <c r="I385" s="466"/>
      <c r="J385" s="466"/>
      <c r="K385" s="466"/>
      <c r="L385" s="466"/>
      <c r="M385" s="466"/>
      <c r="N385" s="466"/>
      <c r="O385" s="466"/>
      <c r="P385" s="1"/>
      <c r="T385" s="14"/>
      <c r="U385" s="467" t="s">
        <v>84</v>
      </c>
      <c r="V385" s="467"/>
      <c r="W385" s="467"/>
      <c r="X385" s="467"/>
      <c r="Y385" s="467"/>
      <c r="Z385" s="139"/>
      <c r="AA385" s="145"/>
      <c r="AB385" s="306">
        <f>IF('Mon Entreprise'!K8&gt;=Annexes!O20,IF(AB354&gt;=AB356,AB354,AB356),IF(AB354&gt;=AB355,AB354,AB355))</f>
        <v>0</v>
      </c>
      <c r="AC385" s="139"/>
      <c r="AD385" s="1"/>
      <c r="AE385" s="13"/>
    </row>
    <row r="386" spans="1:31" ht="16.5" hidden="1" customHeight="1">
      <c r="B386" s="103"/>
      <c r="C386" s="304"/>
      <c r="D386" s="216" t="str">
        <f>IF(OR(AB378="OUI",AB381=TRUE),"- Sans ticket modérateur",IF(AND(OR(AB380="OUI",AB379="OUI"),OR(AB374&gt;=0.8,AB375&gt;=0.8,AB376&gt;=0.1)),"- La Perte de référence est plafonnée à 80 %, soit "&amp;ROUND(AB389,0)&amp;" €","- Sans ticket modérateur"))</f>
        <v>- Sans ticket modérateur</v>
      </c>
      <c r="E386" s="301"/>
      <c r="F386" s="301"/>
      <c r="G386" s="301"/>
      <c r="H386" s="301"/>
      <c r="I386" s="301"/>
      <c r="J386" s="301"/>
      <c r="K386" s="301"/>
      <c r="L386" s="301"/>
      <c r="M386" s="301"/>
      <c r="N386" s="301"/>
      <c r="O386" s="301"/>
      <c r="P386" s="1"/>
      <c r="T386" s="14"/>
      <c r="U386" s="467" t="s">
        <v>85</v>
      </c>
      <c r="V386" s="467"/>
      <c r="W386" s="467"/>
      <c r="X386" s="467"/>
      <c r="Y386" s="467"/>
      <c r="Z386" s="139"/>
      <c r="AA386" s="145"/>
      <c r="AB386" s="306">
        <f>IF('Mon Entreprise'!K8&gt;=Annexes!O20,IF(AB354&gt;=AB356,AE354,AE356),IF(AB354&gt;=AB355,AE354,AE355))</f>
        <v>0</v>
      </c>
      <c r="AC386" s="139"/>
      <c r="AD386" s="1"/>
      <c r="AE386" s="13"/>
    </row>
    <row r="387" spans="1:31" ht="16.5" hidden="1" customHeight="1" thickBot="1">
      <c r="B387" s="103"/>
      <c r="C387" s="304"/>
      <c r="D387" s="301"/>
      <c r="E387" s="301"/>
      <c r="F387" s="301"/>
      <c r="G387" s="301"/>
      <c r="H387" s="301"/>
      <c r="I387" s="301"/>
      <c r="J387" s="301"/>
      <c r="K387" s="301"/>
      <c r="L387" s="301"/>
      <c r="M387" s="301"/>
      <c r="N387" s="301"/>
      <c r="O387" s="301"/>
      <c r="P387" s="1"/>
      <c r="T387" s="14"/>
      <c r="U387" s="447" t="s">
        <v>74</v>
      </c>
      <c r="V387" s="447"/>
      <c r="W387" s="447"/>
      <c r="X387" s="447"/>
      <c r="Y387" s="447"/>
      <c r="Z387" s="139"/>
      <c r="AA387" s="145"/>
      <c r="AB387" s="306">
        <f>IF(OR(AB378="OUI",AB381=TRUE),1,IF(AND(OR(AB380="OUI",AB379="OUI"),OR(AB374&gt;=0.8,AB375&gt;=0.8,AB376&gt;=0.1)),0.8,1))</f>
        <v>1</v>
      </c>
      <c r="AC387" s="139"/>
      <c r="AD387" s="1"/>
      <c r="AE387" s="13"/>
    </row>
    <row r="388" spans="1:31" ht="16.5" hidden="1" customHeight="1">
      <c r="B388" s="103"/>
      <c r="C388" s="304"/>
      <c r="D388" s="450" t="str">
        <f>IFERROR(IF(AB384="NON","Vous avez débuté votre activité après le 31 Janvier 2020, vous ne pouvez donc pas bénéficier de cette aide",IF(OR(AB381=TRUE,AND(AB382=TRUE,AB386&gt;=0.5)),IF(AB389&gt;Annexes!O6,"Dans votre cas, l'aide est Plafonnée, à "&amp;Annexes!O6&amp;" € pour le mois d'Avril","Vous pouvez bénéficier, au titre de cette aide, d'un montant de "&amp;ROUND(AB389,0)&amp;" € pour le mois d'Avril"),IF(AB386&gt;=0.5,IF(OR(AB378="OUI",AND(OR(AB380="OUI",AB379="OUI"),OR(AB374&gt;=Annexes!P5,AB375&gt;=Annexes!P5,AB376&gt;=0.1))),IF(AB389&gt;Annexes!O6,"Dans votre cas, l'aide est Plafonnée, à "&amp;Annexes!O6&amp;" € pour le mois d'Avril","Vous pouvez bénéficier, au titre de cette aide, d'un montant de "&amp;ROUND(AB389,0)&amp;" € pour le mois d'Avril"),IF(AND(OR(AB380="OUI",AB379="OUI"),OR(AB374&lt;Annexes!P5,AB375&lt;Annexes!P5)),"L'entreprise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Avril 2021"))),"Vous n'avez pas indiqué de chiffre d'affaires de référence")</f>
        <v>L'entreprise n'a pas une perte d'au moins 50 % en Avril 2021</v>
      </c>
      <c r="E388" s="451"/>
      <c r="F388" s="451"/>
      <c r="G388" s="451"/>
      <c r="H388" s="451"/>
      <c r="I388" s="451"/>
      <c r="J388" s="451"/>
      <c r="K388" s="451"/>
      <c r="L388" s="451"/>
      <c r="M388" s="451"/>
      <c r="N388" s="451"/>
      <c r="O388" s="452"/>
      <c r="P388" s="1"/>
      <c r="T388" s="14"/>
      <c r="U388" s="447" t="s">
        <v>80</v>
      </c>
      <c r="V388" s="447"/>
      <c r="W388" s="447"/>
      <c r="X388" s="447"/>
      <c r="Y388" s="447"/>
      <c r="Z388" s="139"/>
      <c r="AA388" s="145"/>
      <c r="AB388" s="306">
        <f>IF('Mon Entreprise'!K8&gt;=Annexes!O20,IF(AB354&gt;=AB356,Y354,Y356),IF(AB354&gt;=AB355,Y354,Y355))</f>
        <v>0</v>
      </c>
      <c r="AC388" s="139"/>
      <c r="AD388" s="1"/>
      <c r="AE388" s="13"/>
    </row>
    <row r="389" spans="1:31" ht="16.5" hidden="1" customHeight="1">
      <c r="B389" s="174"/>
      <c r="C389" s="304"/>
      <c r="D389" s="453"/>
      <c r="E389" s="454"/>
      <c r="F389" s="454"/>
      <c r="G389" s="454"/>
      <c r="H389" s="454"/>
      <c r="I389" s="454"/>
      <c r="J389" s="454"/>
      <c r="K389" s="454"/>
      <c r="L389" s="454"/>
      <c r="M389" s="454"/>
      <c r="N389" s="454"/>
      <c r="O389" s="455"/>
      <c r="P389" s="1"/>
      <c r="T389" s="14"/>
      <c r="U389" s="435" t="s">
        <v>104</v>
      </c>
      <c r="V389" s="435"/>
      <c r="W389" s="435"/>
      <c r="X389" s="435"/>
      <c r="Y389" s="435"/>
      <c r="Z389" s="1"/>
      <c r="AA389" s="14"/>
      <c r="AB389" s="303">
        <f>IF(AB387=1,AB385,IF(AB385*AB387&gt;1500,IF(AB385&gt;1500,AB385*AB387,"Impossible"),IF(AB385&lt;1500,AB385,1500)))</f>
        <v>0</v>
      </c>
      <c r="AC389" s="1"/>
      <c r="AD389" s="1"/>
      <c r="AE389" s="13"/>
    </row>
    <row r="390" spans="1:31" ht="16.5" hidden="1" customHeight="1">
      <c r="B390" s="103"/>
      <c r="C390" s="304"/>
      <c r="D390" s="453"/>
      <c r="E390" s="454"/>
      <c r="F390" s="454"/>
      <c r="G390" s="454"/>
      <c r="H390" s="454"/>
      <c r="I390" s="454"/>
      <c r="J390" s="454"/>
      <c r="K390" s="454"/>
      <c r="L390" s="454"/>
      <c r="M390" s="454"/>
      <c r="N390" s="454"/>
      <c r="O390" s="455"/>
      <c r="P390" s="1"/>
      <c r="T390" s="14"/>
      <c r="U390" s="303"/>
      <c r="V390" s="303"/>
      <c r="W390" s="303"/>
      <c r="X390" s="303"/>
      <c r="Y390" s="303"/>
      <c r="Z390" s="1"/>
      <c r="AA390" s="1"/>
      <c r="AB390" s="1"/>
      <c r="AC390" s="1"/>
      <c r="AD390" s="1"/>
      <c r="AE390" s="13"/>
    </row>
    <row r="391" spans="1:31" ht="16.5" hidden="1" customHeight="1" thickBot="1">
      <c r="B391" s="103"/>
      <c r="C391" s="304"/>
      <c r="D391" s="456"/>
      <c r="E391" s="457"/>
      <c r="F391" s="457"/>
      <c r="G391" s="457"/>
      <c r="H391" s="457"/>
      <c r="I391" s="457"/>
      <c r="J391" s="457"/>
      <c r="K391" s="457"/>
      <c r="L391" s="457"/>
      <c r="M391" s="457"/>
      <c r="N391" s="457"/>
      <c r="O391" s="458"/>
      <c r="P391" s="1"/>
      <c r="T391" s="14"/>
      <c r="U391" s="435"/>
      <c r="V391" s="435"/>
      <c r="W391" s="435"/>
      <c r="X391" s="435"/>
      <c r="Y391" s="435"/>
      <c r="Z391" s="1"/>
      <c r="AA391" s="1"/>
      <c r="AB391" s="1"/>
      <c r="AC391" s="1"/>
      <c r="AD391" s="1"/>
      <c r="AE391" s="13"/>
    </row>
    <row r="392" spans="1:31" ht="16.5" hidden="1" customHeight="1">
      <c r="B392" s="103"/>
      <c r="C392" s="170"/>
      <c r="D392" s="175"/>
      <c r="E392" s="175"/>
      <c r="F392" s="175"/>
      <c r="G392" s="175"/>
      <c r="H392" s="175"/>
      <c r="I392" s="175"/>
      <c r="J392" s="175"/>
      <c r="K392" s="175"/>
      <c r="L392" s="175"/>
      <c r="M392" s="175"/>
      <c r="N392" s="175"/>
      <c r="O392" s="175"/>
      <c r="P392" s="1"/>
      <c r="T392" s="14"/>
      <c r="U392" s="303"/>
      <c r="V392" s="303"/>
      <c r="W392" s="303"/>
      <c r="X392" s="303"/>
      <c r="Y392" s="303"/>
      <c r="Z392" s="1"/>
      <c r="AA392" s="1"/>
      <c r="AB392" s="1"/>
      <c r="AC392" s="1"/>
      <c r="AD392" s="1"/>
      <c r="AE392" s="13"/>
    </row>
    <row r="393" spans="1:31" ht="16.5" hidden="1" customHeight="1">
      <c r="B393" s="103"/>
      <c r="C393" s="304"/>
      <c r="D393" s="301"/>
      <c r="E393" s="301"/>
      <c r="F393" s="301"/>
      <c r="G393" s="301"/>
      <c r="H393" s="301"/>
      <c r="I393" s="301"/>
      <c r="J393" s="301"/>
      <c r="K393" s="301"/>
      <c r="L393" s="301"/>
      <c r="M393" s="301"/>
      <c r="N393" s="301"/>
      <c r="O393" s="301"/>
      <c r="P393" s="1"/>
      <c r="T393" s="14"/>
      <c r="U393" s="1"/>
      <c r="V393" s="1"/>
      <c r="W393" s="1"/>
      <c r="X393" s="1"/>
      <c r="Y393" s="1"/>
      <c r="Z393" s="1"/>
      <c r="AA393" s="1"/>
      <c r="AB393" s="1"/>
      <c r="AC393" s="1"/>
      <c r="AD393" s="1"/>
      <c r="AE393" s="13"/>
    </row>
    <row r="394" spans="1:31" ht="16.5" hidden="1" customHeight="1">
      <c r="B394" s="103"/>
      <c r="C394" s="469" t="s">
        <v>454</v>
      </c>
      <c r="D394" s="469"/>
      <c r="E394" s="469"/>
      <c r="F394" s="469"/>
      <c r="G394" s="469"/>
      <c r="H394" s="469"/>
      <c r="I394" s="469"/>
      <c r="J394" s="469"/>
      <c r="K394" s="469"/>
      <c r="L394" s="469"/>
      <c r="M394" s="469"/>
      <c r="N394" s="469"/>
      <c r="O394" s="469"/>
      <c r="P394" s="1"/>
      <c r="T394" s="14"/>
      <c r="U394" s="1"/>
      <c r="V394" s="1"/>
      <c r="W394" s="1"/>
      <c r="X394" s="1"/>
      <c r="Y394" s="1"/>
      <c r="Z394" s="1"/>
      <c r="AA394" s="1"/>
      <c r="AB394" s="1"/>
      <c r="AC394" s="1"/>
      <c r="AD394" s="1"/>
      <c r="AE394" s="13"/>
    </row>
    <row r="395" spans="1:31" ht="16.5" hidden="1" customHeight="1">
      <c r="B395" s="103"/>
      <c r="C395" s="469"/>
      <c r="D395" s="469"/>
      <c r="E395" s="469"/>
      <c r="F395" s="469"/>
      <c r="G395" s="469"/>
      <c r="H395" s="469"/>
      <c r="I395" s="469"/>
      <c r="J395" s="469"/>
      <c r="K395" s="469"/>
      <c r="L395" s="469"/>
      <c r="M395" s="469"/>
      <c r="N395" s="469"/>
      <c r="O395" s="469"/>
      <c r="P395" s="1"/>
      <c r="T395" s="14"/>
      <c r="U395" s="1"/>
      <c r="V395" s="1"/>
      <c r="W395" s="1"/>
      <c r="X395" s="1"/>
      <c r="Y395" s="1"/>
      <c r="Z395" s="1"/>
      <c r="AA395" s="1"/>
      <c r="AB395" s="1"/>
      <c r="AC395" s="1"/>
      <c r="AD395" s="1"/>
      <c r="AE395" s="13"/>
    </row>
    <row r="396" spans="1:31" ht="16.5" hidden="1" customHeight="1">
      <c r="B396" s="103"/>
      <c r="C396" s="469"/>
      <c r="D396" s="469"/>
      <c r="E396" s="469"/>
      <c r="F396" s="469"/>
      <c r="G396" s="469"/>
      <c r="H396" s="469"/>
      <c r="I396" s="469"/>
      <c r="J396" s="469"/>
      <c r="K396" s="469"/>
      <c r="L396" s="469"/>
      <c r="M396" s="469"/>
      <c r="N396" s="469"/>
      <c r="O396" s="469"/>
      <c r="P396" s="1"/>
      <c r="T396" s="14"/>
      <c r="U396" s="1"/>
      <c r="V396" s="1"/>
      <c r="W396" s="1"/>
      <c r="X396" s="1"/>
      <c r="Y396" s="1"/>
      <c r="Z396" s="1"/>
      <c r="AA396" s="1"/>
      <c r="AB396" s="1"/>
      <c r="AC396" s="1"/>
      <c r="AD396" s="1"/>
      <c r="AE396" s="13"/>
    </row>
    <row r="397" spans="1:31" ht="16.5" hidden="1" customHeight="1">
      <c r="B397" s="174"/>
      <c r="C397" s="469"/>
      <c r="D397" s="469"/>
      <c r="E397" s="469"/>
      <c r="F397" s="469"/>
      <c r="G397" s="469"/>
      <c r="H397" s="469"/>
      <c r="I397" s="469"/>
      <c r="J397" s="469"/>
      <c r="K397" s="469"/>
      <c r="L397" s="469"/>
      <c r="M397" s="469"/>
      <c r="N397" s="469"/>
      <c r="O397" s="469"/>
      <c r="P397" s="1"/>
      <c r="T397" s="14"/>
      <c r="U397" s="1"/>
      <c r="V397" s="1"/>
      <c r="W397" s="1"/>
      <c r="X397" s="1"/>
      <c r="Y397" s="1"/>
      <c r="Z397" s="1"/>
      <c r="AA397" s="1"/>
      <c r="AB397" s="1"/>
      <c r="AC397" s="1"/>
      <c r="AD397" s="1"/>
      <c r="AE397" s="13"/>
    </row>
    <row r="398" spans="1:31" ht="16.5" hidden="1" customHeight="1">
      <c r="B398" s="174"/>
      <c r="C398" s="304"/>
      <c r="D398" s="309"/>
      <c r="E398" s="465" t="str">
        <f>IF(AB384="NON","",IF(OR(AB378="OUI",AND(OR(AB380="OUI",AB379="OUI"),OR(AB374&gt;=Annexes!P5,AB375&gt;=Annexes!P5,'Mes Aides'!AB145&gt;=0.1)),AB381=TRUE,AB382=TRUE),"",IF(AND(OR(AB380="OUI",AB379="OUI"),OR(AB374&lt;Annexes!P5,AB375&lt;Annexes!P5,'Mes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398" s="465"/>
      <c r="G398" s="465"/>
      <c r="H398" s="465"/>
      <c r="I398" s="465"/>
      <c r="J398" s="465"/>
      <c r="K398" s="465"/>
      <c r="L398" s="465"/>
      <c r="M398" s="465"/>
      <c r="N398" s="465"/>
      <c r="O398" s="465"/>
      <c r="P398" s="1"/>
      <c r="T398" s="14"/>
      <c r="U398" s="447" t="s">
        <v>82</v>
      </c>
      <c r="V398" s="447"/>
      <c r="W398" s="447"/>
      <c r="X398" s="447"/>
      <c r="Y398" s="447"/>
      <c r="Z398" s="68"/>
      <c r="AA398" s="1"/>
      <c r="AB398" s="1">
        <f>IFERROR(IF(AB365="Non",0,IF(OR(AB381=TRUE,AND(AB368&lt;0.5,AB382=TRUE),(AB368&gt;=0.5)),IF(AB367&gt;Annexes!O5,Annexes!O5,ROUND(AB367,0)),0)),0)</f>
        <v>0</v>
      </c>
      <c r="AC398" s="1"/>
      <c r="AD398" s="1"/>
      <c r="AE398" s="13"/>
    </row>
    <row r="399" spans="1:31" ht="15" hidden="1" customHeight="1">
      <c r="B399" s="174"/>
      <c r="C399" s="304"/>
      <c r="D399" s="309"/>
      <c r="E399" s="465"/>
      <c r="F399" s="465"/>
      <c r="G399" s="465"/>
      <c r="H399" s="465"/>
      <c r="I399" s="465"/>
      <c r="J399" s="465"/>
      <c r="K399" s="465"/>
      <c r="L399" s="465"/>
      <c r="M399" s="465"/>
      <c r="N399" s="465"/>
      <c r="O399" s="465"/>
      <c r="P399" s="1"/>
      <c r="T399" s="14"/>
      <c r="U399" s="447" t="s">
        <v>81</v>
      </c>
      <c r="V399" s="447"/>
      <c r="W399" s="447"/>
      <c r="X399" s="447"/>
      <c r="Y399" s="447"/>
      <c r="Z399" s="68"/>
      <c r="AA399" s="1"/>
      <c r="AB399" s="1">
        <f>IFERROR(IF(AB384="NON",0,IF(OR(AB381=TRUE,AND(AB382=TRUE,AB386&gt;=0.5)),IF(AB389&gt;Annexes!O6,Annexes!O6,ROUND(AB389,0)),IF(AB386&gt;=0.5,IF(OR(AB378="OUI",AND(OR(AB380="OUI",AB379="OUI"),OR(AB374&gt;=Annexes!P5,AB375&gt;=Annexes!P5,AB376&gt;=0.1))),IF(AB389&gt;Annexes!O6,Annexes!O6,ROUND(AB389,0)),IF(AND(OR(AB380="OUI",AB379="OUI"),OR(AB374&lt;Annexes!P5,AB375&lt;Annexes!P5)),0,0)),0))),0)</f>
        <v>0</v>
      </c>
      <c r="AC399" s="1"/>
      <c r="AD399" s="1"/>
      <c r="AE399" s="13"/>
    </row>
    <row r="400" spans="1:31" ht="15" hidden="1" customHeight="1">
      <c r="B400" s="174"/>
      <c r="C400" s="304"/>
      <c r="D400" s="309"/>
      <c r="E400" s="465"/>
      <c r="F400" s="465"/>
      <c r="G400" s="465"/>
      <c r="H400" s="465"/>
      <c r="I400" s="465"/>
      <c r="J400" s="465"/>
      <c r="K400" s="465"/>
      <c r="L400" s="465"/>
      <c r="M400" s="465"/>
      <c r="N400" s="465"/>
      <c r="O400" s="465"/>
      <c r="P400" s="1"/>
      <c r="T400" s="14"/>
      <c r="U400" s="447" t="s">
        <v>399</v>
      </c>
      <c r="V400" s="447"/>
      <c r="W400" s="447"/>
      <c r="X400" s="447"/>
      <c r="Y400" s="447"/>
      <c r="Z400" s="68"/>
      <c r="AA400" s="1"/>
      <c r="AB400" s="1">
        <f>IFERROR(IF(AB384="NON",0,IF(OR(AB381=TRUE,AND(AB382=TRUE,AB386&gt;=0.5)),IF(AB388=0,0,IF(AB385&lt;AB388*0.2,ROUND(AB385,0),IF(AB388*0.2&gt;=200000,Annexes!O8,ROUND(AB388*0.2,0)))),IF(OR(AB378="OUI",AND(AB379="OUI",OR(AB374&gt;=0.8,AB375&gt;=0.8,AB376&gt;=0.1))),IF(AB386&gt;=0.7,IF(AB385&lt;AB388*0.2,ROUND(AB385,0),IF(AB388*0.2&gt;=200000,Annexes!O8,ROUND(AB388*0.2,0))),IF(AB386&gt;=0.5,IF(AB385&lt;AB388*0.15,ROUND(AB385,0),IF(AB388*0.15&gt;=200000,Annexes!O8,ROUND(AB388*0.15,0))),IF(AND(AB380="OUI",OR(AB374&gt;=0.8,AB375&gt;=0.8,AB376&gt;=0.1),AB386&gt;=0.7),IF(AB385&lt;AB388*0.2,ROUND(AB385,0),IF(AB388*0.2&gt;=200000,Annexes!O8,ROUND(AB388*0.2,0))),0))),IF(AND(AB380="OUI",OR(AB374&gt;=0.8,AB375&gt;=0.8,AB376&gt;=0.1),AB386&gt;=0.7),IF(AB385&lt;AB388*0.2,ROUND(AB385,0),IF(AB388*0.2&gt;=200000,Annexes!O8,ROUND(AB388*0.2,0))),0)))),0)</f>
        <v>0</v>
      </c>
      <c r="AC400" s="1"/>
      <c r="AD400" s="1"/>
      <c r="AE400" s="13"/>
    </row>
    <row r="401" spans="2:31" ht="16.5" hidden="1" customHeight="1">
      <c r="B401" s="174"/>
      <c r="C401" s="304"/>
      <c r="D401" s="359"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401" s="359"/>
      <c r="F401" s="359"/>
      <c r="G401" s="359"/>
      <c r="H401" s="359"/>
      <c r="I401" s="359"/>
      <c r="J401" s="359"/>
      <c r="K401" s="359"/>
      <c r="L401" s="359"/>
      <c r="M401" s="359"/>
      <c r="N401" s="359"/>
      <c r="O401" s="359"/>
      <c r="P401" s="301"/>
      <c r="Q401" s="301"/>
      <c r="T401" s="14"/>
      <c r="U401" s="1"/>
      <c r="V401" s="1"/>
      <c r="W401" s="1"/>
      <c r="X401" s="1"/>
      <c r="Y401" s="1"/>
      <c r="Z401" s="1"/>
      <c r="AA401" s="1"/>
      <c r="AB401" s="1"/>
      <c r="AC401" s="1"/>
      <c r="AD401" s="1"/>
      <c r="AE401" s="13"/>
    </row>
    <row r="402" spans="2:31" ht="16.5" hidden="1" customHeight="1">
      <c r="B402" s="174"/>
      <c r="C402" s="304"/>
      <c r="D402" s="466" t="str">
        <f>IFERROR(IF('Mon Entreprise'!K8&gt;=Annexes!O20,"",IF(AB354&lt;AB355,"A noter qu'il convient de choisir l'option retenue par l'entreprise lors de sa demande au titre du mois Février 2021,  ou a défaut celui du mois de Mars 2021, si le CA de référence était celui de février 2019, il convient"&amp;" de prendre celui d'Avril 2019 (...), soit "&amp;ROUND(AB354,0)&amp;" €"&amp;" ==&gt; "&amp;ROUND(AE354*100,0)&amp;" %","A noter qu'il convient de choisir l'option retenue par l'entreprise lors de sa demande au titre du mois Février 2021, "&amp;"ou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402" s="466"/>
      <c r="F402" s="466"/>
      <c r="G402" s="466"/>
      <c r="H402" s="466"/>
      <c r="I402" s="466"/>
      <c r="J402" s="466"/>
      <c r="K402" s="466"/>
      <c r="L402" s="466"/>
      <c r="M402" s="466"/>
      <c r="N402" s="466"/>
      <c r="O402" s="466"/>
      <c r="P402" s="301"/>
      <c r="Q402" s="301"/>
      <c r="T402" s="14"/>
      <c r="U402" s="1"/>
      <c r="V402" s="1"/>
      <c r="W402" s="1"/>
      <c r="X402" s="1"/>
      <c r="Y402" s="1"/>
      <c r="Z402" s="1"/>
      <c r="AA402" s="1"/>
      <c r="AB402" s="1"/>
      <c r="AC402" s="1"/>
      <c r="AD402" s="1"/>
      <c r="AE402" s="13"/>
    </row>
    <row r="403" spans="2:31" ht="16.5" hidden="1" customHeight="1">
      <c r="B403" s="174"/>
      <c r="C403" s="304"/>
      <c r="D403" s="466"/>
      <c r="E403" s="466"/>
      <c r="F403" s="466"/>
      <c r="G403" s="466"/>
      <c r="H403" s="466"/>
      <c r="I403" s="466"/>
      <c r="J403" s="466"/>
      <c r="K403" s="466"/>
      <c r="L403" s="466"/>
      <c r="M403" s="466"/>
      <c r="N403" s="466"/>
      <c r="O403" s="466"/>
      <c r="P403" s="301"/>
      <c r="Q403" s="301"/>
      <c r="T403" s="14"/>
      <c r="U403" s="1"/>
      <c r="V403" s="1"/>
      <c r="W403" s="1"/>
      <c r="X403" s="1"/>
      <c r="Y403" s="1"/>
      <c r="Z403" s="1"/>
      <c r="AA403" s="1"/>
      <c r="AB403" s="1"/>
      <c r="AC403" s="1"/>
      <c r="AD403" s="1"/>
      <c r="AE403" s="13"/>
    </row>
    <row r="404" spans="2:31" ht="16.5" hidden="1" customHeight="1">
      <c r="B404" s="103"/>
      <c r="C404" s="304"/>
      <c r="D404" s="465" t="str">
        <f>IF(OR(AB381=TRUE,AND(AB382=TRUE,AB386&gt;=0.5)),"- L'entreprise peut bénéficier d'une aide de 20 % du CA de référence, plafonnée à 200 000 €",IF(OR(AB378="OUI",AND(AB379="OUI",OR(AB374&gt;=0.8,AB375&gt;=0.8,AB376&gt;=0.1))),IF(AB386&gt;=0.7,"- L'entreprise peut bénéficier d'une aide de 20 % du CA de référence, plafonnée à 200 000 €",IF(AB386&gt;=0.5,"- L'entreprise peut bénéficier d'une aide de 15 % du CA de référence, plafonnée à 200 000 €","- L'entreprise n'a subi ni de fermeture administrative avec une perte de 20 % de CA au mois d'Avril, ni de perte d'au moins 50 % de son CA")),IF(AND(AB380="OUI",OR(AB374&gt;=0.8,AB375&gt;=0.8,AB376&gt;=0.1),AB386&gt;=0.5),"- L'entreprise peut bénéficier d'une aide de 20 % du CA de référence, plafonnée à 200 000 €","- L'entreprise ne fait ni partie des fermetures administratives avec une perte de 20 % du CA au mois d'Avril, ni des activités mentionnées en annexe 1 (S1) ou en annexe 2 (S1 bis) ou Annexe 3 ou dans un centre commercial ayant une perte significative")))</f>
        <v>- L'entreprise ne fait ni partie des fermetures administratives avec une perte de 20 % du CA au mois d'Avril, ni des activités mentionnées en annexe 1 (S1) ou en annexe 2 (S1 bis) ou Annexe 3 ou dans un centre commercial ayant une perte significative</v>
      </c>
      <c r="E404" s="465"/>
      <c r="F404" s="465"/>
      <c r="G404" s="465"/>
      <c r="H404" s="465"/>
      <c r="I404" s="465"/>
      <c r="J404" s="465"/>
      <c r="K404" s="465"/>
      <c r="L404" s="465"/>
      <c r="M404" s="465"/>
      <c r="N404" s="465"/>
      <c r="O404" s="465"/>
      <c r="P404" s="301"/>
      <c r="Q404" s="301"/>
      <c r="T404" s="14"/>
      <c r="U404" s="1"/>
      <c r="V404" s="1"/>
      <c r="W404" s="1"/>
      <c r="X404" s="1"/>
      <c r="Y404" s="1"/>
      <c r="Z404" s="1"/>
      <c r="AA404" s="1"/>
      <c r="AB404" s="1"/>
      <c r="AC404" s="1"/>
      <c r="AD404" s="1"/>
      <c r="AE404" s="13"/>
    </row>
    <row r="405" spans="2:31" ht="16.5" hidden="1" customHeight="1">
      <c r="B405" s="169"/>
      <c r="C405" s="304"/>
      <c r="D405" s="465"/>
      <c r="E405" s="465"/>
      <c r="F405" s="465"/>
      <c r="G405" s="465"/>
      <c r="H405" s="465"/>
      <c r="I405" s="465"/>
      <c r="J405" s="465"/>
      <c r="K405" s="465"/>
      <c r="L405" s="465"/>
      <c r="M405" s="465"/>
      <c r="N405" s="465"/>
      <c r="O405" s="465"/>
      <c r="P405" s="301"/>
      <c r="Q405" s="301"/>
      <c r="T405" s="14"/>
      <c r="U405" s="1"/>
      <c r="V405" s="1"/>
      <c r="W405" s="1"/>
      <c r="X405" s="1"/>
      <c r="Y405" s="1"/>
      <c r="Z405" s="1"/>
      <c r="AA405" s="1"/>
      <c r="AB405" s="1"/>
      <c r="AC405" s="1"/>
      <c r="AD405" s="1"/>
      <c r="AE405" s="13"/>
    </row>
    <row r="406" spans="2:31" ht="16.5" hidden="1" customHeight="1" thickBot="1">
      <c r="B406" s="169"/>
      <c r="C406" s="304"/>
      <c r="D406" s="206"/>
      <c r="E406" s="301"/>
      <c r="F406" s="301"/>
      <c r="G406" s="301"/>
      <c r="H406" s="301"/>
      <c r="I406" s="301"/>
      <c r="J406" s="301"/>
      <c r="K406" s="301"/>
      <c r="L406" s="301"/>
      <c r="M406" s="301"/>
      <c r="N406" s="301"/>
      <c r="O406" s="301"/>
      <c r="P406" s="301"/>
      <c r="Q406" s="301"/>
      <c r="T406" s="14"/>
      <c r="U406" s="1"/>
      <c r="V406" s="1"/>
      <c r="W406" s="1"/>
      <c r="X406" s="1"/>
      <c r="Y406" s="1"/>
      <c r="Z406" s="1"/>
      <c r="AA406" s="1"/>
      <c r="AB406" s="1"/>
      <c r="AC406" s="1"/>
      <c r="AD406" s="1"/>
      <c r="AE406" s="13"/>
    </row>
    <row r="407" spans="2:31" ht="16.5" hidden="1" customHeight="1">
      <c r="B407" s="103"/>
      <c r="C407" s="181"/>
      <c r="D407" s="468" t="str">
        <f>IFERROR(IF(AB384="NON","Vous avez débuté votre activité après le 31 Janvier 2020, vous ne pouvez donc pas bénéficier de cette aide",IF(OR(AB381=TRUE,AND(AB382=TRUE,AB386&gt;=0.5)),IF(AB388=0,"Vous n'avez pas indiqué de chiffre d'affaires de référence",IF(AB385&lt;AB388*0.2,"Dans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d'Avril"))),IF(OR(AB378="OUI",AND(AB379="OUI",OR(AB374&gt;=0.8,AB375&gt;=0.8,AB376&gt;=0.1))),IF(AB386&gt;=0.7,IF(AB385&lt;AB388*0.2,"Dans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d'Avril")),IF(AB386&gt;=0.5,IF(AB385&lt;AB388*0.15,"Dans votre cas, la perte est inférieure à 15 % du CA, l'aide est donc plafonnée à la perte, soit "&amp;ROUND(AB385,0)&amp;" € pour le mois d'Avril",IF(AB388*0.15&gt;=200000,"Dans votre cas, l'aide est plafonnée, à "&amp;Annexes!O8&amp;" € pour le mois d'Avril","Vous pouvez bénéficier, au titre de cette aide, d'un montant de "&amp;ROUND(AB388*0.15,0)&amp;" € pour le mois d'Avril")),IF(AND(AB380="OUI",OR(AB374&gt;=0.8,AB375&gt;=0.8,AB376&gt;=0.1),AB386&gt;=0.7),IF(AB385&lt;AB388*0.2,"Dans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au mois d'Avril, ni des activités mentionnées en annexe 1 (S1) avec 50 % de perte en Avril ou en annexe 2 (S1 bis) ou 3 ou dans un centre commercial avec 70 % de Perte en 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avec 20 % de perte au mois d'Avril, ni des activités mentionnées en annexe 1 (S1)"&amp;" ou en annexe 2 (S1 bis) avec 50 % de perte en Avril ou 3 ou dans un centre commercial avec 70 % de Perte en Avril")))),"Vous n'avez pas indiqué de chiffre d'affaires de référence")</f>
        <v>L'entreprise ne fait ni partie des fermetures administratives avec 20 % de perte au mois d'Avril, ni des activités mentionnées en annexe 1 (S1) ou en annexe 2 (S1 bis) avec 50 % de perte en Avril ou 3 ou dans un centre commercial avec 70 % de Perte en Avril</v>
      </c>
      <c r="E407" s="451"/>
      <c r="F407" s="451"/>
      <c r="G407" s="451"/>
      <c r="H407" s="451"/>
      <c r="I407" s="451"/>
      <c r="J407" s="451"/>
      <c r="K407" s="451"/>
      <c r="L407" s="451"/>
      <c r="M407" s="451"/>
      <c r="N407" s="451"/>
      <c r="O407" s="452"/>
      <c r="P407" s="301"/>
      <c r="Q407" s="301"/>
      <c r="T407" s="14"/>
      <c r="U407" s="1"/>
      <c r="V407" s="1"/>
      <c r="W407" s="1"/>
      <c r="X407" s="1"/>
      <c r="Y407" s="1"/>
      <c r="Z407" s="1"/>
      <c r="AA407" s="1"/>
      <c r="AB407" s="1"/>
      <c r="AC407" s="1"/>
      <c r="AD407" s="1"/>
      <c r="AE407" s="13"/>
    </row>
    <row r="408" spans="2:31" ht="16.5" hidden="1" customHeight="1">
      <c r="B408" s="103"/>
      <c r="C408" s="181"/>
      <c r="D408" s="453"/>
      <c r="E408" s="454"/>
      <c r="F408" s="454"/>
      <c r="G408" s="454"/>
      <c r="H408" s="454"/>
      <c r="I408" s="454"/>
      <c r="J408" s="454"/>
      <c r="K408" s="454"/>
      <c r="L408" s="454"/>
      <c r="M408" s="454"/>
      <c r="N408" s="454"/>
      <c r="O408" s="455"/>
      <c r="P408" s="301"/>
      <c r="Q408" s="301"/>
      <c r="T408" s="14"/>
      <c r="U408" s="1"/>
      <c r="V408" s="1"/>
      <c r="W408" s="1"/>
      <c r="X408" s="1"/>
      <c r="Y408" s="1"/>
      <c r="Z408" s="1"/>
      <c r="AA408" s="1"/>
      <c r="AB408" s="1"/>
      <c r="AC408" s="1"/>
      <c r="AD408" s="1"/>
      <c r="AE408" s="13"/>
    </row>
    <row r="409" spans="2:31" ht="16.5" hidden="1" customHeight="1">
      <c r="B409" s="103"/>
      <c r="C409" s="181"/>
      <c r="D409" s="453"/>
      <c r="E409" s="454"/>
      <c r="F409" s="454"/>
      <c r="G409" s="454"/>
      <c r="H409" s="454"/>
      <c r="I409" s="454"/>
      <c r="J409" s="454"/>
      <c r="K409" s="454"/>
      <c r="L409" s="454"/>
      <c r="M409" s="454"/>
      <c r="N409" s="454"/>
      <c r="O409" s="455"/>
      <c r="P409" s="176"/>
      <c r="Q409" s="176"/>
      <c r="T409" s="14"/>
      <c r="U409" s="1"/>
      <c r="V409" s="1"/>
      <c r="W409" s="1"/>
      <c r="X409" s="1"/>
      <c r="Y409" s="1"/>
      <c r="Z409" s="1"/>
      <c r="AA409" s="1"/>
      <c r="AB409" s="1"/>
      <c r="AC409" s="1"/>
      <c r="AD409" s="1"/>
      <c r="AE409" s="13"/>
    </row>
    <row r="410" spans="2:31" ht="16.5" hidden="1" customHeight="1" thickBot="1">
      <c r="B410" s="103"/>
      <c r="C410" s="181"/>
      <c r="D410" s="456"/>
      <c r="E410" s="457"/>
      <c r="F410" s="457"/>
      <c r="G410" s="457"/>
      <c r="H410" s="457"/>
      <c r="I410" s="457"/>
      <c r="J410" s="457"/>
      <c r="K410" s="457"/>
      <c r="L410" s="457"/>
      <c r="M410" s="457"/>
      <c r="N410" s="457"/>
      <c r="O410" s="458"/>
      <c r="T410" s="14"/>
      <c r="U410" s="1"/>
      <c r="V410" s="1"/>
      <c r="W410" s="1"/>
      <c r="X410" s="1"/>
      <c r="Y410" s="1"/>
      <c r="Z410" s="1"/>
      <c r="AA410" s="1"/>
      <c r="AB410" s="1"/>
      <c r="AC410" s="1"/>
      <c r="AD410" s="1"/>
      <c r="AE410" s="13"/>
    </row>
    <row r="411" spans="2:31" ht="16.5" hidden="1" customHeight="1">
      <c r="B411" s="5"/>
      <c r="C411" s="5"/>
      <c r="D411" s="311"/>
      <c r="E411" s="311"/>
      <c r="F411" s="311"/>
      <c r="G411" s="311"/>
      <c r="H411" s="311"/>
      <c r="I411" s="311"/>
      <c r="J411" s="311"/>
      <c r="K411" s="311"/>
      <c r="L411" s="311"/>
      <c r="M411" s="311"/>
      <c r="N411" s="311"/>
      <c r="O411" s="311"/>
      <c r="P411" s="178"/>
      <c r="Q411" s="178"/>
      <c r="T411" s="14"/>
      <c r="U411" s="1"/>
      <c r="V411" s="1"/>
      <c r="W411" s="1"/>
      <c r="X411" s="1"/>
      <c r="Y411" s="1"/>
      <c r="Z411" s="1"/>
      <c r="AA411" s="1"/>
      <c r="AB411" s="1"/>
      <c r="AC411" s="1"/>
      <c r="AD411" s="1"/>
      <c r="AE411" s="13"/>
    </row>
    <row r="412" spans="2:31" hidden="1">
      <c r="B412" s="5"/>
      <c r="C412" s="5"/>
      <c r="D412" s="311"/>
      <c r="E412" s="311"/>
      <c r="F412" s="311"/>
      <c r="G412" s="311"/>
      <c r="H412" s="311"/>
      <c r="I412" s="311"/>
      <c r="J412" s="311"/>
      <c r="K412" s="311"/>
      <c r="L412" s="311"/>
      <c r="M412" s="311"/>
      <c r="N412" s="311"/>
      <c r="O412" s="311"/>
      <c r="P412" s="178"/>
      <c r="Q412" s="178"/>
      <c r="T412" s="14"/>
      <c r="U412" s="1"/>
      <c r="V412" s="1"/>
      <c r="W412" s="1"/>
      <c r="X412" s="1"/>
      <c r="Y412" s="1"/>
      <c r="Z412" s="1"/>
      <c r="AA412" s="1"/>
      <c r="AB412" s="1"/>
      <c r="AC412" s="1"/>
      <c r="AD412" s="1"/>
      <c r="AE412" s="13"/>
    </row>
    <row r="413" spans="2:31" hidden="1">
      <c r="D413" s="178"/>
      <c r="E413" s="178"/>
      <c r="F413" s="178"/>
      <c r="G413" s="178"/>
      <c r="H413" s="178"/>
      <c r="I413" s="178"/>
      <c r="J413" s="178"/>
      <c r="K413" s="178"/>
      <c r="L413" s="178"/>
      <c r="M413" s="178"/>
      <c r="N413" s="178"/>
      <c r="O413" s="178"/>
      <c r="P413" s="176"/>
      <c r="Q413" s="176"/>
      <c r="T413" s="14"/>
      <c r="U413" s="1"/>
      <c r="V413" s="1"/>
      <c r="W413" s="1"/>
      <c r="X413" s="1"/>
      <c r="Y413" s="1"/>
      <c r="Z413" s="1"/>
      <c r="AA413" s="1"/>
      <c r="AB413" s="1"/>
      <c r="AC413" s="1"/>
      <c r="AD413" s="1"/>
      <c r="AE413" s="13"/>
    </row>
    <row r="414" spans="2:31" hidden="1">
      <c r="D414" s="178"/>
      <c r="E414" s="178"/>
      <c r="F414" s="178"/>
      <c r="G414" s="178"/>
      <c r="H414" s="178"/>
      <c r="I414" s="178"/>
      <c r="J414" s="178"/>
      <c r="K414" s="178"/>
      <c r="L414" s="178"/>
      <c r="M414" s="178"/>
      <c r="N414" s="178"/>
      <c r="O414" s="178"/>
      <c r="P414" s="176"/>
      <c r="Q414" s="176"/>
      <c r="T414" s="14"/>
      <c r="U414" s="1"/>
      <c r="V414" s="1"/>
      <c r="W414" s="1"/>
      <c r="X414" s="1"/>
      <c r="Y414" s="1"/>
      <c r="Z414" s="1"/>
      <c r="AA414" s="1"/>
      <c r="AB414" s="1"/>
      <c r="AC414" s="1"/>
      <c r="AD414" s="1"/>
      <c r="AE414" s="13"/>
    </row>
    <row r="415" spans="2:31">
      <c r="B415" s="5"/>
      <c r="C415" s="5"/>
      <c r="D415" s="255"/>
      <c r="E415" s="255"/>
      <c r="F415" s="255"/>
      <c r="G415" s="255"/>
      <c r="H415" s="255"/>
      <c r="I415" s="255"/>
      <c r="J415" s="255"/>
      <c r="K415" s="255"/>
      <c r="L415" s="255"/>
      <c r="M415" s="255"/>
      <c r="N415" s="255"/>
      <c r="O415" s="255"/>
      <c r="P415" s="178"/>
      <c r="Q415" s="178"/>
      <c r="T415" s="14"/>
      <c r="U415" s="1"/>
      <c r="V415" s="1"/>
      <c r="W415" s="1"/>
      <c r="X415" s="1"/>
      <c r="Y415" s="1"/>
      <c r="Z415" s="1"/>
      <c r="AA415" s="1"/>
      <c r="AB415" s="1"/>
      <c r="AC415" s="1"/>
      <c r="AD415" s="1"/>
      <c r="AE415" s="13"/>
    </row>
    <row r="416" spans="2:31">
      <c r="D416" s="178"/>
      <c r="E416" s="178"/>
      <c r="F416" s="178"/>
      <c r="G416" s="178"/>
      <c r="H416" s="178"/>
      <c r="I416" s="178"/>
      <c r="J416" s="178"/>
      <c r="K416" s="178"/>
      <c r="L416" s="178"/>
      <c r="M416" s="178"/>
      <c r="N416" s="178"/>
      <c r="O416" s="178"/>
      <c r="P416" s="176"/>
      <c r="Q416" s="176"/>
      <c r="T416" s="14"/>
      <c r="U416" s="1"/>
      <c r="V416" s="1"/>
      <c r="W416" s="1"/>
      <c r="X416" s="1"/>
      <c r="Y416" s="1"/>
      <c r="Z416" s="1"/>
      <c r="AA416" s="1"/>
      <c r="AB416" s="1"/>
      <c r="AC416" s="1"/>
      <c r="AD416" s="1"/>
      <c r="AE416" s="13"/>
    </row>
    <row r="417" spans="2:31">
      <c r="D417" s="178"/>
      <c r="E417" s="178"/>
      <c r="F417" s="178"/>
      <c r="G417" s="178"/>
      <c r="H417" s="178"/>
      <c r="I417" s="178"/>
      <c r="J417" s="178"/>
      <c r="K417" s="178"/>
      <c r="L417" s="178"/>
      <c r="M417" s="178"/>
      <c r="N417" s="178"/>
      <c r="O417" s="178"/>
      <c r="P417" s="176"/>
      <c r="Q417" s="176"/>
      <c r="T417" s="14"/>
      <c r="U417" s="1"/>
      <c r="V417" s="1"/>
      <c r="W417" s="1"/>
      <c r="X417" s="1"/>
      <c r="Y417" s="1"/>
      <c r="Z417" s="1"/>
      <c r="AA417" s="1"/>
      <c r="AB417" s="1"/>
      <c r="AC417" s="1"/>
      <c r="AD417" s="1"/>
      <c r="AE417" s="13"/>
    </row>
    <row r="418" spans="2:31">
      <c r="B418" s="161" t="s">
        <v>69</v>
      </c>
      <c r="C418" s="161"/>
      <c r="D418" s="176"/>
      <c r="E418" s="176"/>
      <c r="F418" s="176"/>
      <c r="G418" s="176"/>
      <c r="H418" s="176"/>
      <c r="I418" s="176"/>
      <c r="J418" s="176"/>
      <c r="K418" s="176"/>
      <c r="L418" s="176"/>
      <c r="M418" s="176"/>
      <c r="N418" s="176"/>
      <c r="O418" s="176"/>
      <c r="P418" s="1"/>
      <c r="Q418" s="1"/>
      <c r="T418" s="15"/>
      <c r="U418" s="10"/>
      <c r="V418" s="10"/>
      <c r="W418" s="10"/>
      <c r="X418" s="10"/>
      <c r="Y418" s="10"/>
      <c r="Z418" s="10"/>
      <c r="AA418" s="10"/>
      <c r="AB418" s="10"/>
      <c r="AC418" s="10"/>
      <c r="AD418" s="10"/>
      <c r="AE418" s="4"/>
    </row>
    <row r="419" spans="2:31">
      <c r="M419" s="3"/>
      <c r="O419" s="1"/>
      <c r="Q419" s="1"/>
      <c r="R419" s="1"/>
      <c r="S419" s="1"/>
    </row>
    <row r="420" spans="2:31">
      <c r="O420" s="1"/>
      <c r="Q420" s="1"/>
      <c r="R420" s="1"/>
      <c r="S420" s="1"/>
    </row>
    <row r="421" spans="2:31">
      <c r="B421" s="5"/>
      <c r="C421" s="5"/>
      <c r="D421" s="5"/>
      <c r="Q421" s="1"/>
      <c r="R421" s="1"/>
      <c r="S421" s="1"/>
    </row>
    <row r="422" spans="2:31">
      <c r="R422" s="1"/>
      <c r="S422" s="1"/>
    </row>
    <row r="423" spans="2:31">
      <c r="R423" s="1"/>
      <c r="S423" s="1"/>
    </row>
  </sheetData>
  <sheetProtection password="E733" sheet="1" selectLockedCells="1" selectUnlockedCells="1"/>
  <mergeCells count="280">
    <mergeCell ref="C330:O333"/>
    <mergeCell ref="U334:Y334"/>
    <mergeCell ref="E334:O336"/>
    <mergeCell ref="U335:Y335"/>
    <mergeCell ref="U336:Y336"/>
    <mergeCell ref="D337:O337"/>
    <mergeCell ref="D340:O341"/>
    <mergeCell ref="D343:O346"/>
    <mergeCell ref="V302:Y302"/>
    <mergeCell ref="U318:Y318"/>
    <mergeCell ref="D310:O310"/>
    <mergeCell ref="D338:O339"/>
    <mergeCell ref="D320:O321"/>
    <mergeCell ref="D319:O319"/>
    <mergeCell ref="U320:Y320"/>
    <mergeCell ref="U321:Y321"/>
    <mergeCell ref="U322:Y322"/>
    <mergeCell ref="D324:O327"/>
    <mergeCell ref="U323:Y323"/>
    <mergeCell ref="U324:Y324"/>
    <mergeCell ref="U325:Y325"/>
    <mergeCell ref="U327:Y327"/>
    <mergeCell ref="U304:Y304"/>
    <mergeCell ref="D306:O309"/>
    <mergeCell ref="E316:O318"/>
    <mergeCell ref="T316:Y316"/>
    <mergeCell ref="U317:Y317"/>
    <mergeCell ref="C286:H286"/>
    <mergeCell ref="C288:O288"/>
    <mergeCell ref="U288:W288"/>
    <mergeCell ref="D291:O296"/>
    <mergeCell ref="T290:W290"/>
    <mergeCell ref="T291:W291"/>
    <mergeCell ref="T292:W292"/>
    <mergeCell ref="U301:Y301"/>
    <mergeCell ref="U303:Y303"/>
    <mergeCell ref="D303:O304"/>
    <mergeCell ref="U263:Y263"/>
    <mergeCell ref="C252:O255"/>
    <mergeCell ref="U251:Y251"/>
    <mergeCell ref="U252:Y252"/>
    <mergeCell ref="U254:Y254"/>
    <mergeCell ref="E256:O258"/>
    <mergeCell ref="T310:Y310"/>
    <mergeCell ref="C312:O315"/>
    <mergeCell ref="U311:Y311"/>
    <mergeCell ref="U312:Y312"/>
    <mergeCell ref="U314:Y314"/>
    <mergeCell ref="D275:O275"/>
    <mergeCell ref="D276:O277"/>
    <mergeCell ref="D279:O282"/>
    <mergeCell ref="C268:O271"/>
    <mergeCell ref="E272:O274"/>
    <mergeCell ref="U271:Y271"/>
    <mergeCell ref="U272:Y272"/>
    <mergeCell ref="U266:Y266"/>
    <mergeCell ref="U273:Y273"/>
    <mergeCell ref="U264:Y264"/>
    <mergeCell ref="U257:Y257"/>
    <mergeCell ref="T256:Y256"/>
    <mergeCell ref="D259:O259"/>
    <mergeCell ref="U241:Y241"/>
    <mergeCell ref="U243:Y243"/>
    <mergeCell ref="U244:Y244"/>
    <mergeCell ref="D246:O249"/>
    <mergeCell ref="T250:Y250"/>
    <mergeCell ref="C230:H230"/>
    <mergeCell ref="C232:O232"/>
    <mergeCell ref="U231:W231"/>
    <mergeCell ref="D235:O239"/>
    <mergeCell ref="T233:W233"/>
    <mergeCell ref="T234:W234"/>
    <mergeCell ref="T235:W235"/>
    <mergeCell ref="V242:Y242"/>
    <mergeCell ref="D250:O250"/>
    <mergeCell ref="U258:Y258"/>
    <mergeCell ref="U259:Y259"/>
    <mergeCell ref="U260:Y260"/>
    <mergeCell ref="D262:O265"/>
    <mergeCell ref="U261:Y261"/>
    <mergeCell ref="U262:Y262"/>
    <mergeCell ref="U23:W23"/>
    <mergeCell ref="U49:Y49"/>
    <mergeCell ref="U48:Y48"/>
    <mergeCell ref="U51:Y51"/>
    <mergeCell ref="U50:Y50"/>
    <mergeCell ref="U61:Y61"/>
    <mergeCell ref="U60:Y60"/>
    <mergeCell ref="U54:Y54"/>
    <mergeCell ref="U53:Y53"/>
    <mergeCell ref="U52:Y52"/>
    <mergeCell ref="U55:Y55"/>
    <mergeCell ref="U56:Y56"/>
    <mergeCell ref="T44:W44"/>
    <mergeCell ref="T43:W43"/>
    <mergeCell ref="T42:W42"/>
    <mergeCell ref="U40:W40"/>
    <mergeCell ref="U29:Y29"/>
    <mergeCell ref="U30:Y30"/>
    <mergeCell ref="U31:Y31"/>
    <mergeCell ref="U32:Y32"/>
    <mergeCell ref="U76:W76"/>
    <mergeCell ref="T46:Y46"/>
    <mergeCell ref="U62:Y62"/>
    <mergeCell ref="D64:O65"/>
    <mergeCell ref="D69:O72"/>
    <mergeCell ref="T77:W77"/>
    <mergeCell ref="U82:Y82"/>
    <mergeCell ref="C87:H87"/>
    <mergeCell ref="C89:O89"/>
    <mergeCell ref="U83:Y83"/>
    <mergeCell ref="U84:Y84"/>
    <mergeCell ref="U85:Y85"/>
    <mergeCell ref="U47:Y47"/>
    <mergeCell ref="T106:Y106"/>
    <mergeCell ref="U107:Y107"/>
    <mergeCell ref="U115:Y115"/>
    <mergeCell ref="U100:Y100"/>
    <mergeCell ref="U101:Y101"/>
    <mergeCell ref="U104:Y104"/>
    <mergeCell ref="U113:Y113"/>
    <mergeCell ref="U114:Y114"/>
    <mergeCell ref="U111:Y111"/>
    <mergeCell ref="U112:Y112"/>
    <mergeCell ref="F3:O6"/>
    <mergeCell ref="C62:O63"/>
    <mergeCell ref="B8:O8"/>
    <mergeCell ref="B9:O10"/>
    <mergeCell ref="B13:O13"/>
    <mergeCell ref="C23:I23"/>
    <mergeCell ref="C37:H37"/>
    <mergeCell ref="C20:H20"/>
    <mergeCell ref="D29:O33"/>
    <mergeCell ref="D42:O46"/>
    <mergeCell ref="C49:O50"/>
    <mergeCell ref="D52:O53"/>
    <mergeCell ref="B11:O11"/>
    <mergeCell ref="D56:O59"/>
    <mergeCell ref="B16:O17"/>
    <mergeCell ref="T13:AE20"/>
    <mergeCell ref="T26:W26"/>
    <mergeCell ref="T25:W25"/>
    <mergeCell ref="T78:W78"/>
    <mergeCell ref="T79:W79"/>
    <mergeCell ref="D80:O83"/>
    <mergeCell ref="T24:W24"/>
    <mergeCell ref="U137:Y137"/>
    <mergeCell ref="U144:Y144"/>
    <mergeCell ref="D92:O96"/>
    <mergeCell ref="D115:O118"/>
    <mergeCell ref="U92:W92"/>
    <mergeCell ref="T94:W94"/>
    <mergeCell ref="T95:W95"/>
    <mergeCell ref="T96:W96"/>
    <mergeCell ref="D102:O105"/>
    <mergeCell ref="C108:O109"/>
    <mergeCell ref="E110:O111"/>
    <mergeCell ref="U108:Y108"/>
    <mergeCell ref="U109:Y109"/>
    <mergeCell ref="U110:Y110"/>
    <mergeCell ref="U117:Y117"/>
    <mergeCell ref="U118:Y118"/>
    <mergeCell ref="U99:Y99"/>
    <mergeCell ref="C122:H122"/>
    <mergeCell ref="C124:O124"/>
    <mergeCell ref="D127:O131"/>
    <mergeCell ref="U124:W124"/>
    <mergeCell ref="T126:W126"/>
    <mergeCell ref="T127:W127"/>
    <mergeCell ref="T128:W128"/>
    <mergeCell ref="U134:Y134"/>
    <mergeCell ref="U136:Y136"/>
    <mergeCell ref="V135:Y135"/>
    <mergeCell ref="U148:Y148"/>
    <mergeCell ref="U149:Y149"/>
    <mergeCell ref="U150:Y150"/>
    <mergeCell ref="U151:Y151"/>
    <mergeCell ref="U152:Y152"/>
    <mergeCell ref="C178:H178"/>
    <mergeCell ref="D138:O141"/>
    <mergeCell ref="C144:O146"/>
    <mergeCell ref="T143:Y143"/>
    <mergeCell ref="U146:Y146"/>
    <mergeCell ref="U147:Y147"/>
    <mergeCell ref="E147:O148"/>
    <mergeCell ref="D149:O149"/>
    <mergeCell ref="D167:O170"/>
    <mergeCell ref="U145:Y145"/>
    <mergeCell ref="D152:O155"/>
    <mergeCell ref="E161:O162"/>
    <mergeCell ref="D163:O163"/>
    <mergeCell ref="D171:O171"/>
    <mergeCell ref="B174:O175"/>
    <mergeCell ref="U187:Y187"/>
    <mergeCell ref="C180:O180"/>
    <mergeCell ref="U177:W177"/>
    <mergeCell ref="D183:O187"/>
    <mergeCell ref="T181:W181"/>
    <mergeCell ref="U199:Y199"/>
    <mergeCell ref="C158:O160"/>
    <mergeCell ref="D164:O165"/>
    <mergeCell ref="U161:Y161"/>
    <mergeCell ref="U162:Y162"/>
    <mergeCell ref="U160:Y160"/>
    <mergeCell ref="U197:Y197"/>
    <mergeCell ref="T179:W179"/>
    <mergeCell ref="U153:Y153"/>
    <mergeCell ref="U154:Y154"/>
    <mergeCell ref="U156:Y156"/>
    <mergeCell ref="V188:Y188"/>
    <mergeCell ref="U202:Y202"/>
    <mergeCell ref="U189:Y189"/>
    <mergeCell ref="T180:W180"/>
    <mergeCell ref="T201:Y201"/>
    <mergeCell ref="D119:O120"/>
    <mergeCell ref="U198:Y198"/>
    <mergeCell ref="U190:Y190"/>
    <mergeCell ref="D194:O197"/>
    <mergeCell ref="D223:O226"/>
    <mergeCell ref="D219:O219"/>
    <mergeCell ref="U214:Y214"/>
    <mergeCell ref="U203:Y203"/>
    <mergeCell ref="U204:Y204"/>
    <mergeCell ref="U205:Y205"/>
    <mergeCell ref="U206:Y206"/>
    <mergeCell ref="D205:O205"/>
    <mergeCell ref="D208:O211"/>
    <mergeCell ref="U207:Y207"/>
    <mergeCell ref="U215:Y215"/>
    <mergeCell ref="U208:Y208"/>
    <mergeCell ref="U210:Y210"/>
    <mergeCell ref="C214:O216"/>
    <mergeCell ref="E217:O218"/>
    <mergeCell ref="U216:Y216"/>
    <mergeCell ref="E203:O204"/>
    <mergeCell ref="D220:O221"/>
    <mergeCell ref="T196:Y196"/>
    <mergeCell ref="C200:O202"/>
    <mergeCell ref="D401:O401"/>
    <mergeCell ref="D402:O403"/>
    <mergeCell ref="D404:O405"/>
    <mergeCell ref="D407:O410"/>
    <mergeCell ref="U387:Y387"/>
    <mergeCell ref="D388:O391"/>
    <mergeCell ref="U388:Y388"/>
    <mergeCell ref="U389:Y389"/>
    <mergeCell ref="U391:Y391"/>
    <mergeCell ref="C394:O397"/>
    <mergeCell ref="E398:O400"/>
    <mergeCell ref="U398:Y398"/>
    <mergeCell ref="U399:Y399"/>
    <mergeCell ref="U400:Y400"/>
    <mergeCell ref="E380:O382"/>
    <mergeCell ref="T380:Y380"/>
    <mergeCell ref="U381:Y381"/>
    <mergeCell ref="U382:Y382"/>
    <mergeCell ref="D383:O383"/>
    <mergeCell ref="D384:O385"/>
    <mergeCell ref="U384:Y384"/>
    <mergeCell ref="U385:Y385"/>
    <mergeCell ref="U386:Y386"/>
    <mergeCell ref="D367:O368"/>
    <mergeCell ref="U367:Y367"/>
    <mergeCell ref="U368:Y368"/>
    <mergeCell ref="D370:O373"/>
    <mergeCell ref="D374:O374"/>
    <mergeCell ref="T374:Y374"/>
    <mergeCell ref="U375:Y375"/>
    <mergeCell ref="C376:O379"/>
    <mergeCell ref="U376:Y376"/>
    <mergeCell ref="U378:Y378"/>
    <mergeCell ref="C350:H350"/>
    <mergeCell ref="C352:O352"/>
    <mergeCell ref="U352:W352"/>
    <mergeCell ref="T354:W354"/>
    <mergeCell ref="D355:O360"/>
    <mergeCell ref="T355:W355"/>
    <mergeCell ref="T356:W356"/>
    <mergeCell ref="U365:Y365"/>
    <mergeCell ref="V366:Y366"/>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FAC230"/>
  </sheetPr>
  <dimension ref="A3:AH423"/>
  <sheetViews>
    <sheetView showGridLines="0" workbookViewId="0">
      <selection activeCell="B2" sqref="B2"/>
    </sheetView>
  </sheetViews>
  <sheetFormatPr baseColWidth="10" defaultRowHeight="15"/>
  <cols>
    <col min="2" max="2" width="6" customWidth="1"/>
    <col min="3" max="3" width="4" customWidth="1"/>
    <col min="7" max="7" width="7.85546875" customWidth="1"/>
    <col min="8" max="8" width="3.42578125" customWidth="1"/>
    <col min="9" max="9" width="16.5703125" customWidth="1"/>
    <col min="10" max="10" width="4.42578125" customWidth="1"/>
    <col min="11" max="11" width="10.5703125" customWidth="1"/>
    <col min="13" max="14" width="4.85546875" customWidth="1"/>
    <col min="15" max="15" width="17.28515625" customWidth="1"/>
    <col min="19" max="19" width="7.5703125" customWidth="1"/>
    <col min="20" max="20" width="12.85546875" hidden="1" customWidth="1"/>
    <col min="21" max="23" width="11.42578125" hidden="1" customWidth="1"/>
    <col min="24" max="24" width="4.42578125" hidden="1" customWidth="1"/>
    <col min="25" max="25" width="15.140625" hidden="1" customWidth="1"/>
    <col min="26" max="26" width="3" hidden="1" customWidth="1"/>
    <col min="27" max="27" width="3.7109375" hidden="1" customWidth="1"/>
    <col min="28" max="28" width="14.28515625" hidden="1" customWidth="1"/>
    <col min="29" max="29" width="3.7109375" hidden="1" customWidth="1"/>
    <col min="30" max="30" width="3.85546875" hidden="1" customWidth="1"/>
    <col min="31" max="31" width="11.42578125" hidden="1" customWidth="1"/>
  </cols>
  <sheetData>
    <row r="3" spans="2:34" ht="15" customHeight="1">
      <c r="B3" s="5"/>
      <c r="C3" s="77"/>
      <c r="D3" s="77"/>
      <c r="E3" s="77"/>
      <c r="F3" s="486" t="s">
        <v>457</v>
      </c>
      <c r="G3" s="486"/>
      <c r="H3" s="486"/>
      <c r="I3" s="486"/>
      <c r="J3" s="486"/>
      <c r="K3" s="486"/>
      <c r="L3" s="486"/>
      <c r="M3" s="486"/>
      <c r="N3" s="486"/>
      <c r="O3" s="486"/>
      <c r="R3" s="109"/>
    </row>
    <row r="4" spans="2:34" ht="15" customHeight="1">
      <c r="B4" s="77"/>
      <c r="C4" s="77"/>
      <c r="D4" s="77"/>
      <c r="E4" s="77"/>
      <c r="F4" s="486"/>
      <c r="G4" s="486"/>
      <c r="H4" s="486"/>
      <c r="I4" s="486"/>
      <c r="J4" s="486"/>
      <c r="K4" s="486"/>
      <c r="L4" s="486"/>
      <c r="M4" s="486"/>
      <c r="N4" s="486"/>
      <c r="O4" s="486"/>
      <c r="P4" s="99"/>
    </row>
    <row r="5" spans="2:34" ht="15" customHeight="1">
      <c r="B5" s="77"/>
      <c r="C5" s="77"/>
      <c r="D5" s="77"/>
      <c r="E5" s="77"/>
      <c r="F5" s="486"/>
      <c r="G5" s="486"/>
      <c r="H5" s="486"/>
      <c r="I5" s="486"/>
      <c r="J5" s="486"/>
      <c r="K5" s="486"/>
      <c r="L5" s="486"/>
      <c r="M5" s="486"/>
      <c r="N5" s="486"/>
      <c r="O5" s="486"/>
    </row>
    <row r="6" spans="2:34" ht="15" customHeight="1">
      <c r="B6" s="77"/>
      <c r="C6" s="77"/>
      <c r="D6" s="77"/>
      <c r="E6" s="77"/>
      <c r="F6" s="486"/>
      <c r="G6" s="486"/>
      <c r="H6" s="486"/>
      <c r="I6" s="486"/>
      <c r="J6" s="486"/>
      <c r="K6" s="486"/>
      <c r="L6" s="486"/>
      <c r="M6" s="486"/>
      <c r="N6" s="486"/>
      <c r="O6" s="486"/>
    </row>
    <row r="7" spans="2:34">
      <c r="B7" s="342"/>
      <c r="C7" s="342"/>
      <c r="D7" s="342"/>
      <c r="E7" s="342"/>
      <c r="F7" s="342"/>
      <c r="G7" s="342"/>
      <c r="H7" s="342"/>
      <c r="I7" s="342"/>
      <c r="J7" s="342"/>
      <c r="K7" s="342"/>
      <c r="L7" s="342"/>
      <c r="M7" s="342"/>
      <c r="N7" s="342"/>
    </row>
    <row r="8" spans="2:34" ht="15.75">
      <c r="B8" s="487" t="s">
        <v>34</v>
      </c>
      <c r="C8" s="487"/>
      <c r="D8" s="487"/>
      <c r="E8" s="487"/>
      <c r="F8" s="487"/>
      <c r="G8" s="487"/>
      <c r="H8" s="487"/>
      <c r="I8" s="487"/>
      <c r="J8" s="487"/>
      <c r="K8" s="487"/>
      <c r="L8" s="487"/>
      <c r="M8" s="487"/>
      <c r="N8" s="487"/>
      <c r="O8" s="487"/>
    </row>
    <row r="9" spans="2:34" ht="15" customHeight="1">
      <c r="B9" s="488" t="s">
        <v>33</v>
      </c>
      <c r="C9" s="488"/>
      <c r="D9" s="488"/>
      <c r="E9" s="488"/>
      <c r="F9" s="488"/>
      <c r="G9" s="488"/>
      <c r="H9" s="488"/>
      <c r="I9" s="488"/>
      <c r="J9" s="488"/>
      <c r="K9" s="488"/>
      <c r="L9" s="488"/>
      <c r="M9" s="488"/>
      <c r="N9" s="488"/>
      <c r="O9" s="488"/>
    </row>
    <row r="10" spans="2:34" ht="15" customHeight="1">
      <c r="B10" s="488"/>
      <c r="C10" s="488"/>
      <c r="D10" s="488"/>
      <c r="E10" s="488"/>
      <c r="F10" s="488"/>
      <c r="G10" s="488"/>
      <c r="H10" s="488"/>
      <c r="I10" s="488"/>
      <c r="J10" s="488"/>
      <c r="K10" s="488"/>
      <c r="L10" s="488"/>
      <c r="M10" s="488"/>
      <c r="N10" s="488"/>
      <c r="O10" s="488"/>
    </row>
    <row r="11" spans="2:34" ht="15.75">
      <c r="B11" s="487" t="s">
        <v>65</v>
      </c>
      <c r="C11" s="487"/>
      <c r="D11" s="487"/>
      <c r="E11" s="487"/>
      <c r="F11" s="487"/>
      <c r="G11" s="487"/>
      <c r="H11" s="487"/>
      <c r="I11" s="487"/>
      <c r="J11" s="487"/>
      <c r="K11" s="487"/>
      <c r="L11" s="487"/>
      <c r="M11" s="487"/>
      <c r="N11" s="487"/>
      <c r="O11" s="487"/>
      <c r="P11" s="99"/>
      <c r="Q11" s="99"/>
      <c r="R11" s="99"/>
      <c r="S11" s="99"/>
    </row>
    <row r="12" spans="2:34">
      <c r="R12" t="s">
        <v>7</v>
      </c>
    </row>
    <row r="13" spans="2:34">
      <c r="B13" s="354" t="s">
        <v>68</v>
      </c>
      <c r="C13" s="354"/>
      <c r="D13" s="354"/>
      <c r="E13" s="354"/>
      <c r="F13" s="354"/>
      <c r="G13" s="354"/>
      <c r="H13" s="354"/>
      <c r="I13" s="354"/>
      <c r="J13" s="354"/>
      <c r="K13" s="354"/>
      <c r="L13" s="354"/>
      <c r="M13" s="354"/>
      <c r="N13" s="354"/>
      <c r="O13" s="354"/>
      <c r="S13" s="109"/>
      <c r="T13" s="475" t="s">
        <v>32</v>
      </c>
      <c r="U13" s="475"/>
      <c r="V13" s="475"/>
      <c r="W13" s="475"/>
      <c r="X13" s="475"/>
      <c r="Y13" s="475"/>
      <c r="Z13" s="475"/>
      <c r="AA13" s="475"/>
      <c r="AB13" s="475"/>
      <c r="AC13" s="475"/>
      <c r="AD13" s="475"/>
      <c r="AE13" s="475"/>
      <c r="AF13" s="1"/>
      <c r="AG13" s="1"/>
      <c r="AH13" s="1"/>
    </row>
    <row r="14" spans="2:34" ht="16.5" customHeight="1">
      <c r="B14" s="327"/>
      <c r="C14" s="327"/>
      <c r="D14" s="327"/>
      <c r="E14" s="327"/>
      <c r="F14" s="327"/>
      <c r="G14" s="327"/>
      <c r="H14" s="327"/>
      <c r="I14" s="327"/>
      <c r="J14" s="327"/>
      <c r="K14" s="327"/>
      <c r="L14" s="327"/>
      <c r="M14" s="327"/>
      <c r="N14" s="327"/>
      <c r="O14" s="327"/>
      <c r="S14" s="109"/>
      <c r="T14" s="475"/>
      <c r="U14" s="475"/>
      <c r="V14" s="475"/>
      <c r="W14" s="475"/>
      <c r="X14" s="475"/>
      <c r="Y14" s="475"/>
      <c r="Z14" s="475"/>
      <c r="AA14" s="475"/>
      <c r="AB14" s="475"/>
      <c r="AC14" s="475"/>
      <c r="AD14" s="475"/>
      <c r="AE14" s="475"/>
      <c r="AF14" s="1"/>
      <c r="AG14" s="1"/>
      <c r="AH14" s="1"/>
    </row>
    <row r="15" spans="2:34" ht="15.75" thickBot="1">
      <c r="B15" s="224"/>
      <c r="C15" s="224"/>
      <c r="D15" s="224"/>
      <c r="E15" s="224"/>
      <c r="F15" s="224"/>
      <c r="G15" s="224"/>
      <c r="H15" s="224"/>
      <c r="I15" s="224"/>
      <c r="J15" s="224"/>
      <c r="K15" s="224"/>
      <c r="L15" s="224"/>
      <c r="M15" s="224"/>
      <c r="N15" s="224"/>
      <c r="O15" s="224"/>
      <c r="S15" s="109"/>
      <c r="T15" s="475"/>
      <c r="U15" s="475"/>
      <c r="V15" s="475"/>
      <c r="W15" s="475"/>
      <c r="X15" s="475"/>
      <c r="Y15" s="475"/>
      <c r="Z15" s="475"/>
      <c r="AA15" s="475"/>
      <c r="AB15" s="475"/>
      <c r="AC15" s="475"/>
      <c r="AD15" s="475"/>
      <c r="AE15" s="475"/>
      <c r="AF15" s="1"/>
      <c r="AG15" s="1"/>
      <c r="AH15" s="1"/>
    </row>
    <row r="16" spans="2:34" ht="15" customHeight="1">
      <c r="B16" s="473">
        <v>2020</v>
      </c>
      <c r="C16" s="473"/>
      <c r="D16" s="473"/>
      <c r="E16" s="473"/>
      <c r="F16" s="473"/>
      <c r="G16" s="473"/>
      <c r="H16" s="473"/>
      <c r="I16" s="473"/>
      <c r="J16" s="473"/>
      <c r="K16" s="473"/>
      <c r="L16" s="473"/>
      <c r="M16" s="473"/>
      <c r="N16" s="473"/>
      <c r="O16" s="473"/>
      <c r="S16" s="109"/>
      <c r="T16" s="475"/>
      <c r="U16" s="475"/>
      <c r="V16" s="475"/>
      <c r="W16" s="475"/>
      <c r="X16" s="475"/>
      <c r="Y16" s="475"/>
      <c r="Z16" s="475"/>
      <c r="AA16" s="475"/>
      <c r="AB16" s="475"/>
      <c r="AC16" s="475"/>
      <c r="AD16" s="475"/>
      <c r="AE16" s="475"/>
      <c r="AF16" s="1"/>
      <c r="AG16" s="1"/>
      <c r="AH16" s="1"/>
    </row>
    <row r="17" spans="2:34" ht="15.75" customHeight="1" thickBot="1">
      <c r="B17" s="474"/>
      <c r="C17" s="474"/>
      <c r="D17" s="474"/>
      <c r="E17" s="474"/>
      <c r="F17" s="474"/>
      <c r="G17" s="474"/>
      <c r="H17" s="474"/>
      <c r="I17" s="474"/>
      <c r="J17" s="474"/>
      <c r="K17" s="474"/>
      <c r="L17" s="474"/>
      <c r="M17" s="474"/>
      <c r="N17" s="474"/>
      <c r="O17" s="474"/>
      <c r="S17" s="109"/>
      <c r="T17" s="475"/>
      <c r="U17" s="475"/>
      <c r="V17" s="475"/>
      <c r="W17" s="475"/>
      <c r="X17" s="475"/>
      <c r="Y17" s="475"/>
      <c r="Z17" s="475"/>
      <c r="AA17" s="475"/>
      <c r="AB17" s="475"/>
      <c r="AC17" s="475"/>
      <c r="AD17" s="475"/>
      <c r="AE17" s="475"/>
      <c r="AF17" s="1"/>
      <c r="AG17" s="1"/>
      <c r="AH17" s="1"/>
    </row>
    <row r="18" spans="2:34">
      <c r="S18" s="109"/>
      <c r="T18" s="475"/>
      <c r="U18" s="475"/>
      <c r="V18" s="475"/>
      <c r="W18" s="475"/>
      <c r="X18" s="475"/>
      <c r="Y18" s="475"/>
      <c r="Z18" s="475"/>
      <c r="AA18" s="475"/>
      <c r="AB18" s="475"/>
      <c r="AC18" s="475"/>
      <c r="AD18" s="475"/>
      <c r="AE18" s="475"/>
      <c r="AF18" s="1"/>
      <c r="AG18" s="1"/>
      <c r="AH18" s="1"/>
    </row>
    <row r="19" spans="2:34">
      <c r="S19" s="109"/>
      <c r="T19" s="475"/>
      <c r="U19" s="475"/>
      <c r="V19" s="475"/>
      <c r="W19" s="475"/>
      <c r="X19" s="475"/>
      <c r="Y19" s="475"/>
      <c r="Z19" s="475"/>
      <c r="AA19" s="475"/>
      <c r="AB19" s="475"/>
      <c r="AC19" s="475"/>
      <c r="AD19" s="475"/>
      <c r="AE19" s="475"/>
      <c r="AF19" s="1"/>
      <c r="AG19" s="1"/>
      <c r="AH19" s="1"/>
    </row>
    <row r="20" spans="2:34" ht="16.5" thickBot="1">
      <c r="B20" s="222"/>
      <c r="C20" s="433" t="s">
        <v>19</v>
      </c>
      <c r="D20" s="433"/>
      <c r="E20" s="433"/>
      <c r="F20" s="433"/>
      <c r="G20" s="433"/>
      <c r="H20" s="433"/>
      <c r="I20" s="223"/>
      <c r="J20" s="222"/>
      <c r="K20" s="222"/>
      <c r="L20" s="222"/>
      <c r="M20" s="222"/>
      <c r="N20" s="222"/>
      <c r="O20" s="222"/>
      <c r="T20" s="475"/>
      <c r="U20" s="475"/>
      <c r="V20" s="475"/>
      <c r="W20" s="475"/>
      <c r="X20" s="475"/>
      <c r="Y20" s="475"/>
      <c r="Z20" s="475"/>
      <c r="AA20" s="475"/>
      <c r="AB20" s="475"/>
      <c r="AC20" s="475"/>
      <c r="AD20" s="475"/>
      <c r="AE20" s="475"/>
      <c r="AF20" s="1"/>
      <c r="AG20" s="1"/>
      <c r="AH20" s="1"/>
    </row>
    <row r="21" spans="2:34" ht="15" customHeight="1">
      <c r="B21" s="1"/>
      <c r="C21" s="111"/>
      <c r="D21" s="111"/>
      <c r="E21" s="111"/>
      <c r="F21" s="111"/>
      <c r="G21" s="111"/>
      <c r="H21" s="111"/>
      <c r="I21" s="44"/>
      <c r="J21" s="1"/>
      <c r="K21" s="1"/>
      <c r="L21" s="1"/>
      <c r="M21" s="1"/>
      <c r="N21" s="1"/>
      <c r="O21" s="1"/>
      <c r="S21" s="109"/>
      <c r="T21" s="338"/>
      <c r="U21" s="338"/>
      <c r="V21" s="338"/>
      <c r="W21" s="338"/>
      <c r="X21" s="338"/>
      <c r="Y21" s="338"/>
      <c r="Z21" s="338"/>
      <c r="AA21" s="338"/>
      <c r="AB21" s="338"/>
      <c r="AC21" s="338"/>
      <c r="AD21" s="338"/>
      <c r="AE21" s="338"/>
      <c r="AF21" s="1"/>
      <c r="AG21" s="1"/>
      <c r="AH21" s="1"/>
    </row>
    <row r="22" spans="2:34">
      <c r="B22" s="44"/>
      <c r="C22" s="40"/>
      <c r="D22" s="40"/>
      <c r="E22" s="40"/>
      <c r="F22" s="40"/>
      <c r="G22" s="40"/>
      <c r="H22" s="40"/>
      <c r="I22" s="44"/>
      <c r="J22" s="44"/>
      <c r="K22" s="44"/>
      <c r="L22" s="44"/>
      <c r="M22" s="44"/>
      <c r="N22" s="44"/>
      <c r="O22" s="44"/>
      <c r="P22" s="1"/>
      <c r="Q22" s="1"/>
      <c r="R22" s="1"/>
      <c r="S22" s="109"/>
      <c r="T22" s="16"/>
      <c r="U22" s="11"/>
      <c r="V22" s="11"/>
      <c r="W22" s="11"/>
      <c r="X22" s="11"/>
      <c r="Y22" s="11"/>
      <c r="Z22" s="11"/>
      <c r="AA22" s="11"/>
      <c r="AB22" s="11"/>
      <c r="AC22" s="11"/>
      <c r="AD22" s="11"/>
      <c r="AE22" s="12"/>
      <c r="AF22" s="1"/>
      <c r="AG22" s="1"/>
      <c r="AH22" s="1"/>
    </row>
    <row r="23" spans="2:34" ht="15" customHeight="1">
      <c r="B23" s="40"/>
      <c r="C23" s="350" t="s">
        <v>28</v>
      </c>
      <c r="D23" s="350"/>
      <c r="E23" s="350"/>
      <c r="F23" s="350"/>
      <c r="G23" s="350"/>
      <c r="H23" s="350"/>
      <c r="I23" s="350"/>
      <c r="J23" s="40"/>
      <c r="K23" s="40"/>
      <c r="L23" s="40"/>
      <c r="M23" s="40"/>
      <c r="N23" s="40"/>
      <c r="O23" s="40"/>
      <c r="S23" s="109"/>
      <c r="T23" s="25"/>
      <c r="U23" s="435" t="s">
        <v>20</v>
      </c>
      <c r="V23" s="435"/>
      <c r="W23" s="435"/>
      <c r="X23" s="1"/>
      <c r="Y23" s="338" t="s">
        <v>6</v>
      </c>
      <c r="Z23" s="338"/>
      <c r="AA23" s="126"/>
      <c r="AB23" s="338" t="s">
        <v>23</v>
      </c>
      <c r="AC23" s="338"/>
      <c r="AD23" s="126"/>
      <c r="AE23" s="26" t="s">
        <v>24</v>
      </c>
      <c r="AF23" s="1"/>
      <c r="AG23" s="1"/>
      <c r="AH23" s="1"/>
    </row>
    <row r="24" spans="2:34" ht="15" customHeight="1">
      <c r="B24" s="40"/>
      <c r="C24" s="60" t="s">
        <v>7</v>
      </c>
      <c r="D24" s="326" t="s">
        <v>36</v>
      </c>
      <c r="E24" s="326"/>
      <c r="F24" s="326"/>
      <c r="G24" s="326"/>
      <c r="H24" s="326"/>
      <c r="I24" s="326"/>
      <c r="J24" s="325"/>
      <c r="K24" s="325"/>
      <c r="L24" s="325"/>
      <c r="M24" s="40"/>
      <c r="N24" s="40"/>
      <c r="O24" s="40"/>
      <c r="S24" s="109"/>
      <c r="T24" s="436" t="s">
        <v>21</v>
      </c>
      <c r="U24" s="435"/>
      <c r="V24" s="435"/>
      <c r="W24" s="435"/>
      <c r="X24" s="1"/>
      <c r="Y24" s="21">
        <f>'Mon Entreprise'!I81</f>
        <v>0</v>
      </c>
      <c r="Z24" s="21"/>
      <c r="AA24" s="22"/>
      <c r="AB24" s="21">
        <f>IF('Mon Entreprise'!I81-'Mon Entreprise'!M81&lt;0,0,'Mon Entreprise'!I81-'Mon Entreprise'!M81)</f>
        <v>0</v>
      </c>
      <c r="AC24" s="1"/>
      <c r="AD24" s="14"/>
      <c r="AE24" s="27">
        <f>IFERROR(1-'Mon Entreprise'!M81/'Mon Entreprise'!I81,0)</f>
        <v>0</v>
      </c>
      <c r="AF24" s="1"/>
      <c r="AG24" s="1"/>
      <c r="AH24" s="1"/>
    </row>
    <row r="25" spans="2:34" ht="15" customHeight="1">
      <c r="B25" s="40"/>
      <c r="C25" s="60"/>
      <c r="D25" s="60" t="str">
        <f>"Nombre de jours de fermetures au mois de Septembre : "&amp;IF(Annexes!M9=FALSE,0,IF(Annexes!M4=1,0,Annexes!M4-1))&amp;" jour(s)"</f>
        <v>Nombre de jours de fermetures au mois de Septembre : 0 jour(s)</v>
      </c>
      <c r="E25" s="60"/>
      <c r="F25" s="60"/>
      <c r="G25" s="60"/>
      <c r="H25" s="60"/>
      <c r="I25" s="60"/>
      <c r="J25" s="40"/>
      <c r="K25" s="40"/>
      <c r="L25" s="40"/>
      <c r="M25" s="40"/>
      <c r="N25" s="40"/>
      <c r="O25" s="40"/>
      <c r="S25" s="109"/>
      <c r="T25" s="436" t="s">
        <v>25</v>
      </c>
      <c r="U25" s="435"/>
      <c r="V25" s="435"/>
      <c r="W25" s="435"/>
      <c r="X25" s="1"/>
      <c r="Y25" s="21">
        <f>'Mon Entreprise'!I71*(Annexes!M4-1)/360</f>
        <v>0</v>
      </c>
      <c r="Z25" s="21"/>
      <c r="AA25" s="22"/>
      <c r="AB25" s="21">
        <f>IF('Mon Entreprise'!I71*(Annexes!M4-1)/360-'Mon Entreprise'!M81&lt;0,0,'Mon Entreprise'!I71*(Annexes!M4-1)/360-'Mon Entreprise'!M81)</f>
        <v>0</v>
      </c>
      <c r="AC25" s="7"/>
      <c r="AD25" s="14"/>
      <c r="AE25" s="27">
        <f>IFERROR(1-'Mon Entreprise'!M81/('Mon Entreprise'!I71*(Annexes!M4-1)/360),0)</f>
        <v>0</v>
      </c>
      <c r="AF25" s="1"/>
      <c r="AG25" s="1"/>
      <c r="AH25" s="1"/>
    </row>
    <row r="26" spans="2:34" ht="15" customHeight="1">
      <c r="B26" s="40"/>
      <c r="C26" s="60"/>
      <c r="D26" s="60"/>
      <c r="E26" s="326" t="str">
        <f>IF(Annexes!M9=FALSE,"Vous n'avez pas coché la case Fermeture administrative de Septembre à Octobre",IF(Annexes!M4=1,"Vous n'avez pas de jour de fermeture en septembre",""))</f>
        <v>Vous n'avez pas coché la case Fermeture administrative de Septembre à Octobre</v>
      </c>
      <c r="F26" s="100"/>
      <c r="G26" s="100"/>
      <c r="H26" s="100"/>
      <c r="I26" s="100"/>
      <c r="J26" s="100"/>
      <c r="K26" s="100"/>
      <c r="L26" s="100"/>
      <c r="M26" s="40"/>
      <c r="N26" s="40"/>
      <c r="O26" s="40"/>
      <c r="S26" s="109"/>
      <c r="T26" s="436" t="s">
        <v>22</v>
      </c>
      <c r="U26" s="435"/>
      <c r="V26" s="435"/>
      <c r="W26" s="435"/>
      <c r="X26" s="1"/>
      <c r="Y26" s="23" t="str">
        <f>IFERROR(IF(AND('Mon Entreprise'!K8&gt;=Annexes!Q18,'Mon Entreprise'!K8&lt;=Annexes!Q23),'Mon Entreprise'!I148,IF('Mon Entreprise'!K8&gt;=Annexes!O20,'Mon Entreprise'!I140,"NC")),"NC")</f>
        <v>NC</v>
      </c>
      <c r="Z26" s="23"/>
      <c r="AA26" s="22"/>
      <c r="AB26" s="23" t="str">
        <f>IFERROR(IF(AND('Mon Entreprise'!K8&gt;=Annexes!Q18,'Mon Entreprise'!K8&lt;=Annexes!Q23),IF('Mon Entreprise'!I148-'Mon Entreprise'!I84&lt;0,0,'Mon Entreprise'!I148-'Mon Entreprise'!I84),IF('Mon Entreprise'!K8&gt;=Annexes!O20,IF('Mon Entreprise'!I140-'Mon Entreprise'!I84&lt;0,0,'Mon Entreprise'!I140-'Mon Entreprise'!I84),"NC")),"NC")</f>
        <v>NC</v>
      </c>
      <c r="AC26" s="333"/>
      <c r="AD26" s="14"/>
      <c r="AE26" s="28" t="str">
        <f>IFERROR(IF(AND('Mon Entreprise'!K8&gt;=Annexes!Q18,'Mon Entreprise'!K8&lt;=Annexes!Q24),1-'Mon Entreprise'!I84/'Mon Entreprise'!I148,IF('Mon Entreprise'!K8&gt;=Annexes!O20,1-'Mon Entreprise'!I84/'Mon Entreprise'!I140,"NC")),"NC")</f>
        <v>NC</v>
      </c>
      <c r="AF26" s="1"/>
      <c r="AG26" s="1"/>
      <c r="AH26" s="1"/>
    </row>
    <row r="27" spans="2:34" ht="15" customHeight="1">
      <c r="B27" s="40"/>
      <c r="C27" s="60"/>
      <c r="D27" s="60" t="str">
        <f>IFERROR(IF('Mon Entreprise'!K8&gt;=Annexes!O20,IF(AB24&gt;=AB26,"Le CA de référence est celui de Septembre 2019, soit une perte de "&amp;ROUND(AB24,0)&amp;" €"&amp;" ==&gt; "&amp;ROUND(AE24*100,0)&amp;" %","Le CA de référence est celui de la création, soit une perte de "&amp;ROUND(AB26,0)&amp;" €"&amp;" ==&gt; "&amp;ROUND(AE26*100,0)&amp;" %"),IF(AB24&gt;=AB25,"Le CA de référence est celui de Septembre 2019, soit une perte de "&amp;ROUND(AB24,0)&amp;" €"&amp;" ==&gt; "&amp;ROUND(AE24*100,0)&amp;" %","Le CA de référence est celui de l'exercice 2019, soit une perte de "&amp;ROUND(AB25,0)&amp;" €"&amp;" ==&gt; "&amp;ROUND(AE25*100,0)&amp;" %")),"")</f>
        <v>Le CA de référence est celui de Septembre 2019, soit une perte de 0 € ==&gt; 0 %</v>
      </c>
      <c r="E27" s="60"/>
      <c r="F27" s="60"/>
      <c r="G27" s="60"/>
      <c r="H27" s="60"/>
      <c r="I27" s="60"/>
      <c r="J27" s="40"/>
      <c r="K27" s="40"/>
      <c r="L27" s="40"/>
      <c r="M27" s="40"/>
      <c r="N27" s="40"/>
      <c r="O27" s="40"/>
      <c r="S27" s="109"/>
      <c r="T27" s="14"/>
      <c r="U27" s="1"/>
      <c r="V27" s="1"/>
      <c r="W27" s="1"/>
      <c r="X27" s="1"/>
      <c r="Y27" s="1"/>
      <c r="Z27" s="1"/>
      <c r="AA27" s="1"/>
      <c r="AB27" s="1"/>
      <c r="AC27" s="1"/>
      <c r="AD27" s="1"/>
      <c r="AE27" s="13"/>
      <c r="AF27" s="1"/>
      <c r="AG27" s="1"/>
      <c r="AH27" s="1"/>
    </row>
    <row r="28" spans="2:34" ht="15" customHeight="1" thickBot="1">
      <c r="B28" s="40"/>
      <c r="C28" s="40"/>
      <c r="D28" s="40"/>
      <c r="E28" s="40"/>
      <c r="F28" s="40"/>
      <c r="G28" s="40"/>
      <c r="H28" s="40"/>
      <c r="I28" s="40"/>
      <c r="J28" s="40"/>
      <c r="K28" s="40"/>
      <c r="L28" s="40"/>
      <c r="M28" s="40"/>
      <c r="N28" s="40"/>
      <c r="O28" s="40"/>
      <c r="S28" s="109"/>
      <c r="T28" s="14"/>
      <c r="U28" s="1"/>
      <c r="V28" s="1"/>
      <c r="W28" s="1"/>
      <c r="X28" s="1"/>
      <c r="Y28" s="1"/>
      <c r="Z28" s="1"/>
      <c r="AA28" s="1"/>
      <c r="AB28" s="1"/>
      <c r="AC28" s="1"/>
      <c r="AD28" s="1"/>
      <c r="AE28" s="13"/>
      <c r="AF28" s="1"/>
      <c r="AG28" s="1"/>
      <c r="AH28" s="1"/>
    </row>
    <row r="29" spans="2:34">
      <c r="B29" s="40"/>
      <c r="C29" s="40"/>
      <c r="D29" s="556" t="str">
        <f>IFERROR(IF('Mon Entreprise'!K8="","Vous ne pouvez pas bénéficier du fonds de solidarité pour le mois de Septembre 2020",IF(AB29="NON","Vous avez débuté votre activité après le 31 Août 2020, vous ne pouvez donc pas bénéficier de cette aide pour le mois de Septembre",IF(AB31="Non","Vous n'avez pas eu de fermeture administrative en septembre, vous ne pouvez donc pas bénéficier de cette aide pour le mois de Septembre",IF(AB32&gt;Annexes!O7*(Annexes!M4-1),"Dans votre cas, l'aide est Plafonnée sur 333 €/jour, soit "&amp;Annexes!O7*(Annexes!M4-1)&amp;" €, pour le mois de septembre","Vous pouvez bénéficier, au titre de cette aide, d'un montant de "&amp;ROUND(IF(AB32&lt;0,0,AB32),0)&amp;" € pour le mois de septembre")))),"Vous n'avez pas indiqué de chiffre d'affaires de référence")</f>
        <v>Vous ne pouvez pas bénéficier du fonds de solidarité pour le mois de Septembre 2020</v>
      </c>
      <c r="E29" s="557"/>
      <c r="F29" s="557"/>
      <c r="G29" s="557"/>
      <c r="H29" s="557"/>
      <c r="I29" s="557"/>
      <c r="J29" s="557"/>
      <c r="K29" s="557"/>
      <c r="L29" s="557"/>
      <c r="M29" s="557"/>
      <c r="N29" s="557"/>
      <c r="O29" s="558"/>
      <c r="S29" s="109"/>
      <c r="T29" s="14"/>
      <c r="U29" s="448" t="s">
        <v>72</v>
      </c>
      <c r="V29" s="448"/>
      <c r="W29" s="448"/>
      <c r="X29" s="448"/>
      <c r="Y29" s="448"/>
      <c r="Z29" s="330"/>
      <c r="AA29" s="14"/>
      <c r="AB29" s="333" t="str">
        <f>IF('Mon Entreprise'!K8&lt;=Annexes!Q23,"Oui","Non")</f>
        <v>Oui</v>
      </c>
      <c r="AC29" s="1"/>
      <c r="AD29" s="1"/>
      <c r="AE29" s="13"/>
      <c r="AF29" s="1"/>
      <c r="AG29" s="1"/>
      <c r="AH29" s="1"/>
    </row>
    <row r="30" spans="2:34" ht="15" customHeight="1">
      <c r="B30" s="1"/>
      <c r="C30" s="1"/>
      <c r="D30" s="559"/>
      <c r="E30" s="480"/>
      <c r="F30" s="480"/>
      <c r="G30" s="480"/>
      <c r="H30" s="480"/>
      <c r="I30" s="480"/>
      <c r="J30" s="480"/>
      <c r="K30" s="480"/>
      <c r="L30" s="480"/>
      <c r="M30" s="480"/>
      <c r="N30" s="480"/>
      <c r="O30" s="560"/>
      <c r="P30" s="1"/>
      <c r="Q30" s="1"/>
      <c r="R30" s="1"/>
      <c r="S30" s="109"/>
      <c r="T30" s="14"/>
      <c r="U30" s="435" t="s">
        <v>78</v>
      </c>
      <c r="V30" s="435"/>
      <c r="W30" s="435"/>
      <c r="X30" s="435"/>
      <c r="Y30" s="435"/>
      <c r="Z30" s="333"/>
      <c r="AA30" s="14"/>
      <c r="AB30" s="333">
        <f>IF(Annexes!M9=FALSE,0,IF(Annexes!M4=1,0,Annexes!M4-1))</f>
        <v>0</v>
      </c>
      <c r="AC30" s="1"/>
      <c r="AD30" s="1"/>
      <c r="AE30" s="13"/>
      <c r="AF30" s="1"/>
      <c r="AG30" s="1"/>
      <c r="AH30" s="1"/>
    </row>
    <row r="31" spans="2:34" ht="15" hidden="1" customHeight="1">
      <c r="B31" s="1"/>
      <c r="C31" s="1"/>
      <c r="D31" s="559"/>
      <c r="E31" s="480"/>
      <c r="F31" s="480"/>
      <c r="G31" s="480"/>
      <c r="H31" s="480"/>
      <c r="I31" s="480"/>
      <c r="J31" s="480"/>
      <c r="K31" s="480"/>
      <c r="L31" s="480"/>
      <c r="M31" s="480"/>
      <c r="N31" s="480"/>
      <c r="O31" s="560"/>
      <c r="P31" s="1"/>
      <c r="Q31" s="1"/>
      <c r="R31" s="1"/>
      <c r="S31" s="1"/>
      <c r="T31" s="14"/>
      <c r="U31" s="435" t="s">
        <v>79</v>
      </c>
      <c r="V31" s="435"/>
      <c r="W31" s="435"/>
      <c r="X31" s="435"/>
      <c r="Y31" s="435"/>
      <c r="Z31" s="333"/>
      <c r="AA31" s="14"/>
      <c r="AB31" s="333" t="str">
        <f>IF(Annexes!M9=FALSE,"Non",IF(Annexes!M4=1,"Non","Oui"))</f>
        <v>Non</v>
      </c>
      <c r="AC31" s="1"/>
      <c r="AD31" s="1"/>
      <c r="AE31" s="13"/>
      <c r="AF31" s="1"/>
      <c r="AG31" s="1"/>
      <c r="AH31" s="1"/>
    </row>
    <row r="32" spans="2:34" ht="15" customHeight="1">
      <c r="B32" s="1"/>
      <c r="C32" s="1"/>
      <c r="D32" s="559"/>
      <c r="E32" s="480"/>
      <c r="F32" s="480"/>
      <c r="G32" s="480"/>
      <c r="H32" s="480"/>
      <c r="I32" s="480"/>
      <c r="J32" s="480"/>
      <c r="K32" s="480"/>
      <c r="L32" s="480"/>
      <c r="M32" s="480"/>
      <c r="N32" s="480"/>
      <c r="O32" s="560"/>
      <c r="P32" s="1"/>
      <c r="Q32" s="1"/>
      <c r="R32" s="1"/>
      <c r="S32" s="1"/>
      <c r="T32" s="14"/>
      <c r="U32" s="435" t="s">
        <v>89</v>
      </c>
      <c r="V32" s="435"/>
      <c r="W32" s="435"/>
      <c r="X32" s="435"/>
      <c r="Y32" s="435"/>
      <c r="Z32" s="130"/>
      <c r="AA32" s="14"/>
      <c r="AB32" s="333">
        <f>IF('Mon Entreprise'!K8&gt;=Annexes!O20,IF(AB24&gt;=AB26,AB24,AB26),IF(AB24&gt;=AB25,AB24,AB25))</f>
        <v>0</v>
      </c>
      <c r="AC32" s="1"/>
      <c r="AD32" s="1"/>
      <c r="AE32" s="13"/>
      <c r="AF32" s="1"/>
      <c r="AG32" s="1"/>
      <c r="AH32" s="1"/>
    </row>
    <row r="33" spans="2:34" ht="15.75" thickBot="1">
      <c r="B33" s="1"/>
      <c r="C33" s="1"/>
      <c r="D33" s="561"/>
      <c r="E33" s="562"/>
      <c r="F33" s="562"/>
      <c r="G33" s="562"/>
      <c r="H33" s="562"/>
      <c r="I33" s="562"/>
      <c r="J33" s="562"/>
      <c r="K33" s="562"/>
      <c r="L33" s="562"/>
      <c r="M33" s="562"/>
      <c r="N33" s="562"/>
      <c r="O33" s="563"/>
      <c r="P33" s="1"/>
      <c r="Q33" s="1"/>
      <c r="R33" s="1"/>
      <c r="S33" s="1"/>
      <c r="T33" s="14"/>
      <c r="U33" s="1"/>
      <c r="V33" s="1"/>
      <c r="W33" s="1"/>
      <c r="X33" s="1"/>
      <c r="Y33" s="1"/>
      <c r="Z33" s="1"/>
      <c r="AA33" s="1"/>
      <c r="AB33" s="1"/>
      <c r="AC33" s="1"/>
      <c r="AD33" s="1"/>
      <c r="AE33" s="13"/>
      <c r="AF33" s="1"/>
      <c r="AG33" s="1"/>
      <c r="AH33" s="1"/>
    </row>
    <row r="34" spans="2:34">
      <c r="B34" s="1"/>
      <c r="C34" s="1"/>
      <c r="D34" s="55" t="s">
        <v>83</v>
      </c>
      <c r="E34" s="1"/>
      <c r="F34" s="1"/>
      <c r="G34" s="1"/>
      <c r="H34" s="1"/>
      <c r="I34" s="1"/>
      <c r="J34" s="1"/>
      <c r="K34" s="1"/>
      <c r="L34" s="5"/>
      <c r="M34" s="1"/>
      <c r="N34" s="1"/>
      <c r="O34" s="1"/>
      <c r="P34" s="1"/>
      <c r="Q34" s="1"/>
      <c r="R34" s="1"/>
      <c r="S34" s="1"/>
      <c r="T34" s="14"/>
      <c r="U34" s="1"/>
      <c r="V34" s="1"/>
      <c r="W34" s="1"/>
      <c r="X34" s="1"/>
      <c r="Y34" s="1"/>
      <c r="Z34" s="1"/>
      <c r="AA34" s="1"/>
      <c r="AB34" s="1"/>
      <c r="AC34" s="1"/>
      <c r="AD34" s="1"/>
      <c r="AE34" s="13"/>
      <c r="AF34" s="1"/>
      <c r="AG34" s="1"/>
      <c r="AH34" s="1"/>
    </row>
    <row r="35" spans="2:34">
      <c r="B35" s="8"/>
      <c r="C35" s="8"/>
      <c r="D35" s="8"/>
      <c r="K35" s="6"/>
      <c r="O35" s="1"/>
      <c r="P35" s="7"/>
      <c r="Q35" s="7"/>
      <c r="R35" s="7"/>
      <c r="S35" s="1"/>
      <c r="T35" s="14"/>
      <c r="U35" s="1"/>
      <c r="V35" s="1"/>
      <c r="W35" s="1"/>
      <c r="X35" s="1"/>
      <c r="Y35" s="1"/>
      <c r="Z35" s="1"/>
      <c r="AA35" s="1"/>
      <c r="AB35" s="1"/>
      <c r="AC35" s="1"/>
      <c r="AD35" s="1"/>
      <c r="AE35" s="13"/>
      <c r="AF35" s="1"/>
      <c r="AG35" s="1"/>
      <c r="AH35" s="1"/>
    </row>
    <row r="36" spans="2:34" ht="15" customHeight="1">
      <c r="B36" s="5"/>
      <c r="C36" s="5"/>
      <c r="D36" s="5"/>
      <c r="O36" s="1"/>
      <c r="P36" s="1"/>
      <c r="Q36" s="1"/>
      <c r="R36" s="1"/>
      <c r="S36" s="1"/>
      <c r="T36" s="14"/>
      <c r="U36" s="1"/>
      <c r="V36" s="1"/>
      <c r="W36" s="1"/>
      <c r="X36" s="1"/>
      <c r="Y36" s="1"/>
      <c r="Z36" s="1"/>
      <c r="AA36" s="1"/>
      <c r="AB36" s="1"/>
      <c r="AC36" s="1"/>
      <c r="AD36" s="1"/>
      <c r="AE36" s="13"/>
      <c r="AF36" s="1"/>
      <c r="AG36" s="1"/>
      <c r="AH36" s="1"/>
    </row>
    <row r="37" spans="2:34" ht="16.5" thickBot="1">
      <c r="B37" s="223"/>
      <c r="C37" s="433" t="s">
        <v>31</v>
      </c>
      <c r="D37" s="433"/>
      <c r="E37" s="433"/>
      <c r="F37" s="433"/>
      <c r="G37" s="433"/>
      <c r="H37" s="433"/>
      <c r="I37" s="223"/>
      <c r="J37" s="223"/>
      <c r="K37" s="223"/>
      <c r="L37" s="223"/>
      <c r="M37" s="223"/>
      <c r="N37" s="223"/>
      <c r="O37" s="223"/>
      <c r="Q37" s="99"/>
      <c r="S37" s="1"/>
      <c r="T37" s="15"/>
      <c r="U37" s="10"/>
      <c r="V37" s="10"/>
      <c r="W37" s="10"/>
      <c r="X37" s="10"/>
      <c r="Y37" s="10"/>
      <c r="Z37" s="10"/>
      <c r="AA37" s="10"/>
      <c r="AB37" s="10"/>
      <c r="AC37" s="10"/>
      <c r="AD37" s="10"/>
      <c r="AE37" s="4"/>
      <c r="AF37" s="1"/>
      <c r="AG37" s="1"/>
      <c r="AH37" s="1"/>
    </row>
    <row r="38" spans="2:34">
      <c r="B38" s="44"/>
      <c r="C38" s="40"/>
      <c r="D38" s="40"/>
      <c r="E38" s="40"/>
      <c r="F38" s="40"/>
      <c r="G38" s="40"/>
      <c r="H38" s="113"/>
      <c r="I38" s="44"/>
      <c r="J38" s="44"/>
      <c r="K38" s="44"/>
      <c r="L38" s="44"/>
      <c r="M38" s="44"/>
      <c r="N38" s="44"/>
      <c r="O38" s="44"/>
      <c r="P38" s="1"/>
      <c r="Q38" s="1"/>
      <c r="R38" s="1"/>
      <c r="S38" s="1"/>
      <c r="T38" s="16"/>
      <c r="U38" s="11"/>
      <c r="V38" s="11"/>
      <c r="W38" s="11"/>
      <c r="X38" s="11"/>
      <c r="Y38" s="11"/>
      <c r="Z38" s="11"/>
      <c r="AA38" s="11"/>
      <c r="AB38" s="11"/>
      <c r="AC38" s="11"/>
      <c r="AD38" s="11"/>
      <c r="AE38" s="12"/>
      <c r="AF38" s="1"/>
      <c r="AG38" s="1"/>
      <c r="AH38" s="1"/>
    </row>
    <row r="39" spans="2:34">
      <c r="B39" s="40"/>
      <c r="C39" s="60" t="s">
        <v>97</v>
      </c>
      <c r="D39" s="40"/>
      <c r="E39" s="40"/>
      <c r="F39" s="40"/>
      <c r="G39" s="40"/>
      <c r="H39" s="40"/>
      <c r="I39" s="40"/>
      <c r="J39" s="40"/>
      <c r="K39" s="40"/>
      <c r="L39" s="40"/>
      <c r="M39" s="40"/>
      <c r="N39" s="40"/>
      <c r="O39" s="40"/>
      <c r="T39" s="25"/>
      <c r="U39" s="1"/>
      <c r="V39" s="1"/>
      <c r="W39" s="1"/>
      <c r="X39" s="1"/>
      <c r="Y39" s="1"/>
      <c r="Z39" s="1"/>
      <c r="AA39" s="1"/>
      <c r="AB39" s="1"/>
      <c r="AC39" s="1"/>
      <c r="AD39" s="1"/>
      <c r="AE39" s="13"/>
    </row>
    <row r="40" spans="2:34">
      <c r="B40" s="40"/>
      <c r="C40" s="60"/>
      <c r="D40" s="121" t="s">
        <v>26</v>
      </c>
      <c r="E40" s="40"/>
      <c r="F40" s="40"/>
      <c r="G40" s="40"/>
      <c r="H40" s="40"/>
      <c r="I40" s="40"/>
      <c r="J40" s="40"/>
      <c r="K40" s="40"/>
      <c r="L40" s="40"/>
      <c r="M40" s="40"/>
      <c r="N40" s="40"/>
      <c r="O40" s="40"/>
      <c r="T40" s="25"/>
      <c r="U40" s="435" t="s">
        <v>20</v>
      </c>
      <c r="V40" s="435"/>
      <c r="W40" s="435"/>
      <c r="X40" s="1"/>
      <c r="Y40" s="338" t="s">
        <v>6</v>
      </c>
      <c r="Z40" s="338"/>
      <c r="AA40" s="338"/>
      <c r="AB40" s="338" t="s">
        <v>23</v>
      </c>
      <c r="AC40" s="338"/>
      <c r="AD40" s="338"/>
      <c r="AE40" s="26" t="s">
        <v>24</v>
      </c>
    </row>
    <row r="41" spans="2:34" ht="15.75" hidden="1" thickBot="1">
      <c r="B41" s="40"/>
      <c r="C41" s="60"/>
      <c r="D41" s="40"/>
      <c r="E41" s="40"/>
      <c r="F41" s="40"/>
      <c r="G41" s="40"/>
      <c r="H41" s="40"/>
      <c r="I41" s="40"/>
      <c r="J41" s="40"/>
      <c r="K41" s="40"/>
      <c r="L41" s="40"/>
      <c r="M41" s="40"/>
      <c r="N41" s="40"/>
      <c r="O41" s="40"/>
      <c r="T41" s="25"/>
      <c r="U41" s="338"/>
      <c r="V41" s="338"/>
      <c r="W41" s="338"/>
      <c r="X41" s="1"/>
      <c r="Y41" s="338"/>
      <c r="Z41" s="338"/>
      <c r="AA41" s="338"/>
      <c r="AB41" s="338"/>
      <c r="AC41" s="338"/>
      <c r="AD41" s="338"/>
      <c r="AE41" s="26"/>
    </row>
    <row r="42" spans="2:34" hidden="1">
      <c r="B42" s="40"/>
      <c r="C42" s="40"/>
      <c r="D42" s="489" t="str">
        <f>IFERROR(IF(AND(AB60=0,AB61=0,AB62=0),"Vous ne pouvez pas bénéficier du fonds de solidarité pour le mois d'Octobre 2020",IF(AND(AB60&gt;AB61,AB60&gt;AB62),"Votre entreprise peut bénéficier d'une aide de "&amp;AB60&amp;" €, au titre des entreprises domiciliées dans des zones ayant subi des mesures de couvre-feu avec une perte de CA d'au-moins 50 % du CA en Octobre",IF(AB61&gt;AB62,"Votre entreprise peut bénéficier d'une aide de "&amp;AB61&amp;" €, au titre des entreprises domiciliées hors des zones ayant subi des mesures de couvre-feu avec une perte de CA d'au-moins "&amp;IF(AB52&gt;=0.7,70,50)&amp;" % du CA en Octobre","Votre entreprise peut bénéficier d'une aide de "&amp;AB62&amp;" €, au titre d'une fermeture Administrative au mois d'octobre"))),"Vous n'avez pas indiqué de chiffre d'affaires de référence")</f>
        <v>Vous ne pouvez pas bénéficier du fonds de solidarité pour le mois d'Octobre 2020</v>
      </c>
      <c r="E42" s="490"/>
      <c r="F42" s="490"/>
      <c r="G42" s="490"/>
      <c r="H42" s="490"/>
      <c r="I42" s="490"/>
      <c r="J42" s="490"/>
      <c r="K42" s="490"/>
      <c r="L42" s="490"/>
      <c r="M42" s="490"/>
      <c r="N42" s="490"/>
      <c r="O42" s="491"/>
      <c r="T42" s="436" t="s">
        <v>27</v>
      </c>
      <c r="U42" s="435"/>
      <c r="V42" s="435"/>
      <c r="W42" s="435"/>
      <c r="X42" s="1"/>
      <c r="Y42" s="7">
        <f>'Mon Entreprise'!I87</f>
        <v>0</v>
      </c>
      <c r="Z42" s="21"/>
      <c r="AA42" s="22"/>
      <c r="AB42" s="7">
        <f>IF('Mon Entreprise'!I87-'Mon Entreprise'!M87&lt;0,0,'Mon Entreprise'!I87-'Mon Entreprise'!M87)</f>
        <v>0</v>
      </c>
      <c r="AC42" s="1"/>
      <c r="AD42" s="14"/>
      <c r="AE42" s="27">
        <f>IFERROR(1-'Mon Entreprise'!M87/'Mon Entreprise'!I87,0)</f>
        <v>0</v>
      </c>
    </row>
    <row r="43" spans="2:34" ht="15" hidden="1" customHeight="1">
      <c r="D43" s="492"/>
      <c r="E43" s="441"/>
      <c r="F43" s="441"/>
      <c r="G43" s="441"/>
      <c r="H43" s="441"/>
      <c r="I43" s="441"/>
      <c r="J43" s="441"/>
      <c r="K43" s="441"/>
      <c r="L43" s="441"/>
      <c r="M43" s="441"/>
      <c r="N43" s="441"/>
      <c r="O43" s="493"/>
      <c r="T43" s="436" t="s">
        <v>25</v>
      </c>
      <c r="U43" s="435"/>
      <c r="V43" s="435"/>
      <c r="W43" s="435"/>
      <c r="X43" s="1"/>
      <c r="Y43" s="7">
        <f>'Mon Entreprise'!I73</f>
        <v>0</v>
      </c>
      <c r="Z43" s="21"/>
      <c r="AA43" s="22"/>
      <c r="AB43" s="7">
        <f>IF('Mon Entreprise'!I73-'Mon Entreprise'!M87&lt;0,0,'Mon Entreprise'!I73-'Mon Entreprise'!M87)</f>
        <v>0</v>
      </c>
      <c r="AC43" s="7"/>
      <c r="AD43" s="14"/>
      <c r="AE43" s="27">
        <f>IFERROR(1-'Mon Entreprise'!M87/'Mon Entreprise'!I73,0)</f>
        <v>0</v>
      </c>
    </row>
    <row r="44" spans="2:34" ht="15" hidden="1" customHeight="1">
      <c r="C44" s="104"/>
      <c r="D44" s="492"/>
      <c r="E44" s="441"/>
      <c r="F44" s="441"/>
      <c r="G44" s="441"/>
      <c r="H44" s="441"/>
      <c r="I44" s="441"/>
      <c r="J44" s="441"/>
      <c r="K44" s="441"/>
      <c r="L44" s="441"/>
      <c r="M44" s="441"/>
      <c r="N44" s="441"/>
      <c r="O44" s="493"/>
      <c r="Q44" s="99"/>
      <c r="R44" s="99"/>
      <c r="S44" s="99"/>
      <c r="T44" s="446" t="s">
        <v>22</v>
      </c>
      <c r="U44" s="447"/>
      <c r="V44" s="447"/>
      <c r="W44" s="447"/>
      <c r="X44" s="139"/>
      <c r="Y44" s="140" t="str">
        <f>IF('Mon Entreprise'!I139="","NC",'Mon Entreprise'!I139)</f>
        <v>NC</v>
      </c>
      <c r="Z44" s="141"/>
      <c r="AA44" s="142"/>
      <c r="AB44" s="143" t="str">
        <f>IFERROR(IF('Mon Entreprise'!I139-'Mon Entreprise'!M87&lt;0,0,'Mon Entreprise'!I139-'Mon Entreprise'!M87),"NC")</f>
        <v>NC</v>
      </c>
      <c r="AC44" s="332"/>
      <c r="AD44" s="145"/>
      <c r="AE44" s="146" t="str">
        <f>IFERROR(1-'Mon Entreprise'!M87/'Mon Entreprise'!I139,"NC")</f>
        <v>NC</v>
      </c>
      <c r="AF44" s="99"/>
    </row>
    <row r="45" spans="2:34" ht="15" hidden="1" customHeight="1">
      <c r="C45" s="104"/>
      <c r="D45" s="492"/>
      <c r="E45" s="441"/>
      <c r="F45" s="441"/>
      <c r="G45" s="441"/>
      <c r="H45" s="441"/>
      <c r="I45" s="441"/>
      <c r="J45" s="441"/>
      <c r="K45" s="441"/>
      <c r="L45" s="441"/>
      <c r="M45" s="441"/>
      <c r="N45" s="441"/>
      <c r="O45" s="493"/>
      <c r="T45" s="14"/>
      <c r="U45" s="1"/>
      <c r="V45" s="1"/>
      <c r="W45" s="1"/>
      <c r="X45" s="1"/>
      <c r="Y45" s="1"/>
      <c r="Z45" s="1"/>
      <c r="AA45" s="1"/>
      <c r="AB45" s="1"/>
      <c r="AC45" s="1"/>
      <c r="AD45" s="1"/>
      <c r="AE45" s="13"/>
    </row>
    <row r="46" spans="2:34" ht="15.75" hidden="1" customHeight="1" thickBot="1">
      <c r="C46" s="104"/>
      <c r="D46" s="494"/>
      <c r="E46" s="495"/>
      <c r="F46" s="495"/>
      <c r="G46" s="495"/>
      <c r="H46" s="495"/>
      <c r="I46" s="495"/>
      <c r="J46" s="495"/>
      <c r="K46" s="495"/>
      <c r="L46" s="495"/>
      <c r="M46" s="495"/>
      <c r="N46" s="495"/>
      <c r="O46" s="496"/>
      <c r="T46" s="500" t="s">
        <v>4</v>
      </c>
      <c r="U46" s="448"/>
      <c r="V46" s="448"/>
      <c r="W46" s="448"/>
      <c r="X46" s="448"/>
      <c r="Y46" s="448"/>
      <c r="Z46" s="124"/>
      <c r="AA46" s="14"/>
      <c r="AB46" s="19">
        <f>IFERROR(IF('Mon Entreprise'!K8&lt;Annexes!O17,IF(1-'Mon Entreprise'!M93/'Mon Entreprise'!I93&gt;=1-'Mon Entreprise'!M93/('Mon Entreprise'!I73*2),1-'Mon Entreprise'!M93/'Mon Entreprise'!I93,1-'Mon Entreprise'!M93/('Mon Entreprise'!I73*2)),1-'Mon Entreprise'!M93/'Mon Entreprise'!I153),0)</f>
        <v>0</v>
      </c>
      <c r="AC46" s="1"/>
      <c r="AD46" s="1"/>
      <c r="AE46" s="13"/>
    </row>
    <row r="47" spans="2:34" ht="18.75" customHeight="1">
      <c r="C47" s="80"/>
      <c r="D47" s="80"/>
      <c r="E47" s="80"/>
      <c r="F47" s="80"/>
      <c r="G47" s="80"/>
      <c r="H47" s="80"/>
      <c r="I47" s="80"/>
      <c r="J47" s="80"/>
      <c r="K47" s="80"/>
      <c r="L47" s="80"/>
      <c r="M47" s="80"/>
      <c r="N47" s="80"/>
      <c r="O47" s="80"/>
      <c r="T47" s="14"/>
      <c r="U47" s="448" t="s">
        <v>8</v>
      </c>
      <c r="V47" s="448"/>
      <c r="W47" s="448"/>
      <c r="X47" s="448"/>
      <c r="Y47" s="448"/>
      <c r="Z47" s="124"/>
      <c r="AA47" s="14"/>
      <c r="AB47" s="333" t="str">
        <f>IF((AND(Annexes!F5&gt;1,Annexes!F5&lt;=Annexes!H6)),"OUI","NON")</f>
        <v>NON</v>
      </c>
      <c r="AC47" s="1"/>
      <c r="AD47" s="1"/>
      <c r="AE47" s="13"/>
    </row>
    <row r="48" spans="2:34" ht="15" customHeight="1">
      <c r="T48" s="14"/>
      <c r="U48" s="502" t="s">
        <v>9</v>
      </c>
      <c r="V48" s="502"/>
      <c r="W48" s="502"/>
      <c r="X48" s="502"/>
      <c r="Y48" s="502"/>
      <c r="Z48" s="125"/>
      <c r="AA48" s="14"/>
      <c r="AB48" s="333" t="str">
        <f>IF((AND(Annexes!F7&gt;1,Annexes!F7&lt;=Annexes!H8)),"OUI","NON")</f>
        <v>NON</v>
      </c>
      <c r="AC48" s="1"/>
      <c r="AD48" s="1"/>
      <c r="AE48" s="13"/>
    </row>
    <row r="49" spans="3:31" ht="15" customHeight="1">
      <c r="C49" s="497" t="s">
        <v>400</v>
      </c>
      <c r="D49" s="497"/>
      <c r="E49" s="497"/>
      <c r="F49" s="497"/>
      <c r="G49" s="497"/>
      <c r="H49" s="497"/>
      <c r="I49" s="497"/>
      <c r="J49" s="497"/>
      <c r="K49" s="497"/>
      <c r="L49" s="497"/>
      <c r="M49" s="497"/>
      <c r="N49" s="497"/>
      <c r="O49" s="497"/>
      <c r="T49" s="14"/>
      <c r="U49" s="448" t="s">
        <v>71</v>
      </c>
      <c r="V49" s="448"/>
      <c r="W49" s="448"/>
      <c r="X49" s="448"/>
      <c r="Y49" s="448"/>
      <c r="Z49" s="124"/>
      <c r="AA49" s="14"/>
      <c r="AB49" s="333">
        <f>IF(AB47="OUI",Annexes!O6,IF(AND(AB48="OUI",AB46&gt;=0.8),Annexes!O6,Annexes!O5))</f>
        <v>1500</v>
      </c>
      <c r="AC49" s="1"/>
      <c r="AD49" s="1"/>
      <c r="AE49" s="13"/>
    </row>
    <row r="50" spans="3:31" ht="15" customHeight="1">
      <c r="C50" s="497"/>
      <c r="D50" s="497"/>
      <c r="E50" s="497"/>
      <c r="F50" s="497"/>
      <c r="G50" s="497"/>
      <c r="H50" s="497"/>
      <c r="I50" s="497"/>
      <c r="J50" s="497"/>
      <c r="K50" s="497"/>
      <c r="L50" s="497"/>
      <c r="M50" s="497"/>
      <c r="N50" s="497"/>
      <c r="O50" s="497"/>
      <c r="T50" s="14"/>
      <c r="U50" s="448" t="s">
        <v>72</v>
      </c>
      <c r="V50" s="448"/>
      <c r="W50" s="448"/>
      <c r="X50" s="448"/>
      <c r="Y50" s="448"/>
      <c r="Z50" s="124"/>
      <c r="AA50" s="14"/>
      <c r="AB50" s="333" t="str">
        <f>IF('Mon Entreprise'!K8&lt;=Annexes!Q24,"Oui","Non")</f>
        <v>Oui</v>
      </c>
      <c r="AC50" s="1"/>
      <c r="AD50" s="1"/>
      <c r="AE50" s="13"/>
    </row>
    <row r="51" spans="3:31" ht="15" customHeight="1">
      <c r="C51" s="58"/>
      <c r="D51" s="121" t="str">
        <f>IF(Annexes!M13=FALSE,"- L'entreprise ne semble pas avoir été impactée par le couvre-Feu de 21H à 6H","- L'entreprise a été impactée par le couvre-Feu de 21H à 6H")</f>
        <v>- L'entreprise ne semble pas avoir été impactée par le couvre-Feu de 21H à 6H</v>
      </c>
      <c r="E51" s="59"/>
      <c r="F51" s="59"/>
      <c r="G51" s="59"/>
      <c r="H51" s="59"/>
      <c r="I51" s="59"/>
      <c r="J51" s="59"/>
      <c r="K51" s="59"/>
      <c r="L51" s="59"/>
      <c r="M51" s="121"/>
      <c r="N51" s="121"/>
      <c r="O51" s="121"/>
      <c r="T51" s="14"/>
      <c r="U51" s="448" t="s">
        <v>84</v>
      </c>
      <c r="V51" s="448"/>
      <c r="W51" s="448"/>
      <c r="X51" s="448"/>
      <c r="Y51" s="448"/>
      <c r="Z51" s="124"/>
      <c r="AA51" s="14"/>
      <c r="AB51" s="333">
        <f>IF('Mon Entreprise'!K8&gt;=Annexes!O20,IF(AB42&gt;=AB44,AB42,AB44),IF(AB42&gt;=AB43,AB42,AB43))</f>
        <v>0</v>
      </c>
      <c r="AC51" s="1"/>
      <c r="AD51" s="1"/>
      <c r="AE51" s="13"/>
    </row>
    <row r="52" spans="3:31" ht="15" customHeight="1">
      <c r="C52" s="58"/>
      <c r="D52" s="498" t="str">
        <f>IF(AB47="OUI","- L'entreprise est mentionnée en annexe 1 (S1) du décret 2020-1328, et peut bénéficier à ce titre d'une aide plafonné à 10 000 €",IF(AND(AB48="OUI",AB46&gt;=0.8),"- L'entreprise est mentionnée en annexe 2 (S1 bis) du décret 2020-1328 ayant subi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peut donc bénéficier d'une aide plafonné à 1 500 €"))</f>
        <v>- L'entreprise n'est pas mentionnée en annexe 1 (S1) ou en annexe 2 (S1 bis) du décret 2020-1328 et ayant subi une perte de CA d'au moins 80 % entre le 15/03/2020 et le 15/05/2020, l'entreprise peut donc bénéficier d'une aide plafonné à 1 500 €</v>
      </c>
      <c r="E52" s="498"/>
      <c r="F52" s="498"/>
      <c r="G52" s="498"/>
      <c r="H52" s="498"/>
      <c r="I52" s="498"/>
      <c r="J52" s="498"/>
      <c r="K52" s="498"/>
      <c r="L52" s="498"/>
      <c r="M52" s="498"/>
      <c r="N52" s="498"/>
      <c r="O52" s="498"/>
      <c r="T52" s="14"/>
      <c r="U52" s="448" t="s">
        <v>85</v>
      </c>
      <c r="V52" s="448"/>
      <c r="W52" s="448"/>
      <c r="X52" s="448"/>
      <c r="Y52" s="448"/>
      <c r="Z52" s="124"/>
      <c r="AA52" s="14"/>
      <c r="AB52" s="19">
        <f>IF('Mon Entreprise'!K8&gt;=Annexes!O20,IF(AB42&gt;=AB44,AE42,AE44),IF(AB42&gt;=AB43,AE42,AE43))</f>
        <v>0</v>
      </c>
      <c r="AC52" s="1"/>
      <c r="AD52" s="1"/>
      <c r="AE52" s="13"/>
    </row>
    <row r="53" spans="3:31" ht="15" customHeight="1">
      <c r="C53" s="58"/>
      <c r="D53" s="498"/>
      <c r="E53" s="498"/>
      <c r="F53" s="498"/>
      <c r="G53" s="498"/>
      <c r="H53" s="498"/>
      <c r="I53" s="498"/>
      <c r="J53" s="498"/>
      <c r="K53" s="498"/>
      <c r="L53" s="498"/>
      <c r="M53" s="498"/>
      <c r="N53" s="498"/>
      <c r="O53" s="498"/>
      <c r="T53" s="14"/>
      <c r="U53" s="448" t="s">
        <v>73</v>
      </c>
      <c r="V53" s="448"/>
      <c r="W53" s="448"/>
      <c r="X53" s="448"/>
      <c r="Y53" s="448"/>
      <c r="Z53" s="124"/>
      <c r="AA53" s="14"/>
      <c r="AB53" s="333">
        <f>IF(AB52&gt;=0.7,IF(AB47="OUI",Annexes!O6,IF(AND(AB48="OUI",AB46&gt;=0.8),Annexes!O6,0)),IF(AB52&gt;=0.5,IF(AB47="OUI",Annexes!O5,IF(AND(AB48="OUI",AB46&gt;=0.8),Annexes!O5,0)),0))</f>
        <v>0</v>
      </c>
      <c r="AC53" s="1"/>
      <c r="AD53" s="1"/>
      <c r="AE53" s="13"/>
    </row>
    <row r="54" spans="3:31" ht="15" customHeight="1">
      <c r="C54" s="58"/>
      <c r="D54" s="121" t="str">
        <f>IFERROR(IF('Mon Entreprise'!K8&gt;=Annexes!O20,IF(AB42&gt;=AB44,"- Le CA de référence est celui d'octobre 2019, soit une perte de "&amp;ROUND(AB42,0)&amp;" €"&amp;" ==&gt; "&amp;ROUND(AE42*100,0)&amp;" %","- Le CA de référence est celui de la création, soit une perte de "&amp;ROUND(AB44,0)&amp;" €"&amp;" ==&gt; "&amp;ROUND(AE44*100,0)&amp;" %"),IF(AE42&gt;=AE43,"-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54" s="121"/>
      <c r="F54" s="121"/>
      <c r="G54" s="121"/>
      <c r="H54" s="121"/>
      <c r="I54" s="121"/>
      <c r="J54" s="121"/>
      <c r="K54" s="121"/>
      <c r="L54" s="121"/>
      <c r="M54" s="121"/>
      <c r="N54" s="121"/>
      <c r="O54" s="121"/>
      <c r="T54" s="14"/>
      <c r="U54" s="448" t="s">
        <v>74</v>
      </c>
      <c r="V54" s="448"/>
      <c r="W54" s="448"/>
      <c r="X54" s="448"/>
      <c r="Y54" s="448"/>
      <c r="Z54" s="124"/>
      <c r="AA54" s="14"/>
      <c r="AB54" s="333">
        <f>IF(AB52&gt;=0.7,IF(AB47="OUI",Annexes!P6,IF(AND(AB48="OUI",AB46&gt;=0.8),Annexes!P6,1)),1)</f>
        <v>1</v>
      </c>
      <c r="AC54" s="1"/>
      <c r="AD54" s="1"/>
      <c r="AE54" s="13"/>
    </row>
    <row r="55" spans="3:31" ht="15" customHeight="1" thickBot="1">
      <c r="C55" s="58"/>
      <c r="D55" s="58"/>
      <c r="E55" s="58"/>
      <c r="F55" s="58"/>
      <c r="G55" s="58"/>
      <c r="H55" s="58"/>
      <c r="I55" s="58"/>
      <c r="J55" s="58"/>
      <c r="K55" s="58"/>
      <c r="L55" s="58"/>
      <c r="M55" s="58"/>
      <c r="N55" s="58"/>
      <c r="O55" s="58"/>
      <c r="T55" s="14"/>
      <c r="U55" s="435" t="s">
        <v>80</v>
      </c>
      <c r="V55" s="435"/>
      <c r="W55" s="435"/>
      <c r="X55" s="435"/>
      <c r="Y55" s="435"/>
      <c r="Z55" s="1"/>
      <c r="AA55" s="14"/>
      <c r="AB55" s="333">
        <f>IF('Mon Entreprise'!K8&gt;=Annexes!O20,IF(AB42&gt;=AB44,Y42,Y44),IF(AB42&gt;=AB43,Y42,Y43))</f>
        <v>0</v>
      </c>
      <c r="AC55" s="1"/>
      <c r="AD55" s="1"/>
      <c r="AE55" s="13"/>
    </row>
    <row r="56" spans="3:31" ht="15.75" customHeight="1">
      <c r="D56" s="450" t="str">
        <f>IFERROR(IF(AB50="Non","Vous avez débuté votre activité après le 30 Septembre 2020, vous ne pouvez donc pas bénéficier de cette aide",IF(Annexes!M13=FALSE,"L'entreprise ne semble pas avoir été impactée par le couvre-Feu de 21H à 6H",IF(AB52&gt;=0.5,IF(AB49=Annexes!O6,IF(AB51&gt;=Annexes!O6,"Dans votre cas, l'aide est Plafonnée, à "&amp;Annexes!O6&amp;" € pour le mois d'octobre",IF(AB51=0,"Vous n'avez pas indiqué de CA de référence","Vous pouvez bénéficier, au titre de cette aide, d'un montant de "&amp;ROUND(AB51,0)&amp;" € pour le mois d'octobre")),IF(AB49=Annexes!O5,IF(AB51&gt;Annexes!O5,"Dans votre cas, l'aide est Plafonnée, à "&amp;Annexes!O5&amp;" € pour le mois d'octobre",IF(AB51=0,"Vous n'avez pas indiqué de CA de référence","Vous pouvez bénéficier, au titre de cette aide, d'un montant de "&amp;ROUND(AB51,0)&amp;" € pour le mois d'octobre.")),)),"L'entreprise n'a pas subi de perte d'au-moins 50 % sur son CA d'Octobre 2020"))),"Vous n'avez pas indiqué de chiffre d'affaires de référence")</f>
        <v>L'entreprise ne semble pas avoir été impactée par le couvre-Feu de 21H à 6H</v>
      </c>
      <c r="E56" s="451"/>
      <c r="F56" s="451"/>
      <c r="G56" s="451"/>
      <c r="H56" s="451"/>
      <c r="I56" s="451"/>
      <c r="J56" s="451"/>
      <c r="K56" s="451"/>
      <c r="L56" s="451"/>
      <c r="M56" s="451"/>
      <c r="N56" s="451"/>
      <c r="O56" s="452"/>
      <c r="T56" s="14"/>
      <c r="U56" s="435" t="s">
        <v>401</v>
      </c>
      <c r="V56" s="435"/>
      <c r="W56" s="435"/>
      <c r="X56" s="435"/>
      <c r="Y56" s="435"/>
      <c r="Z56" s="1"/>
      <c r="AA56" s="14"/>
      <c r="AB56" s="333">
        <f>IFERROR(IF(AB51&gt;AB55*AB54,IF(AND(AB51&gt;1500,1500&gt;AB55*AB54),1500,IF(1500&gt;AB51,AB51,AB55*AB54)),AB51),0)</f>
        <v>0</v>
      </c>
      <c r="AC56" s="1"/>
      <c r="AD56" s="1"/>
      <c r="AE56" s="13"/>
    </row>
    <row r="57" spans="3:31" ht="15" customHeight="1">
      <c r="D57" s="453"/>
      <c r="E57" s="454"/>
      <c r="F57" s="454"/>
      <c r="G57" s="454"/>
      <c r="H57" s="454"/>
      <c r="I57" s="454"/>
      <c r="J57" s="454"/>
      <c r="K57" s="454"/>
      <c r="L57" s="454"/>
      <c r="M57" s="454"/>
      <c r="N57" s="454"/>
      <c r="O57" s="455"/>
      <c r="T57" s="14"/>
      <c r="U57" s="1"/>
      <c r="V57" s="1"/>
      <c r="W57" s="1"/>
      <c r="X57" s="1"/>
      <c r="Y57" s="1"/>
      <c r="Z57" s="1"/>
      <c r="AA57" s="1"/>
      <c r="AB57" s="1"/>
      <c r="AC57" s="1"/>
      <c r="AD57" s="1"/>
      <c r="AE57" s="13"/>
    </row>
    <row r="58" spans="3:31" ht="15" customHeight="1">
      <c r="D58" s="453"/>
      <c r="E58" s="454"/>
      <c r="F58" s="454"/>
      <c r="G58" s="454"/>
      <c r="H58" s="454"/>
      <c r="I58" s="454"/>
      <c r="J58" s="454"/>
      <c r="K58" s="454"/>
      <c r="L58" s="454"/>
      <c r="M58" s="454"/>
      <c r="N58" s="454"/>
      <c r="O58" s="455"/>
      <c r="T58" s="14"/>
      <c r="U58" s="1"/>
      <c r="V58" s="1"/>
      <c r="W58" s="1"/>
      <c r="X58" s="1"/>
      <c r="Y58" s="1"/>
      <c r="Z58" s="1"/>
      <c r="AA58" s="1"/>
      <c r="AB58" s="1"/>
      <c r="AC58" s="1"/>
      <c r="AD58" s="1"/>
      <c r="AE58" s="13"/>
    </row>
    <row r="59" spans="3:31" ht="15" customHeight="1" thickBot="1">
      <c r="D59" s="456"/>
      <c r="E59" s="457"/>
      <c r="F59" s="457"/>
      <c r="G59" s="457"/>
      <c r="H59" s="457"/>
      <c r="I59" s="457"/>
      <c r="J59" s="457"/>
      <c r="K59" s="457"/>
      <c r="L59" s="457"/>
      <c r="M59" s="457"/>
      <c r="N59" s="457"/>
      <c r="O59" s="458"/>
      <c r="T59" s="14"/>
      <c r="U59" s="1"/>
      <c r="V59" s="1"/>
      <c r="W59" s="1"/>
      <c r="X59" s="1"/>
      <c r="Y59" s="1"/>
      <c r="Z59" s="1"/>
      <c r="AA59" s="1"/>
      <c r="AB59" s="1"/>
      <c r="AC59" s="1"/>
      <c r="AD59" s="1"/>
      <c r="AE59" s="13"/>
    </row>
    <row r="60" spans="3:31" ht="15.75" customHeight="1">
      <c r="C60" s="78"/>
      <c r="D60" s="78"/>
      <c r="E60" s="78"/>
      <c r="F60" s="78"/>
      <c r="G60" s="78"/>
      <c r="H60" s="78"/>
      <c r="I60" s="78"/>
      <c r="J60" s="78"/>
      <c r="K60" s="78"/>
      <c r="L60" s="78"/>
      <c r="M60" s="78"/>
      <c r="N60" s="78"/>
      <c r="O60" s="78"/>
      <c r="T60" s="14"/>
      <c r="U60" s="435" t="s">
        <v>75</v>
      </c>
      <c r="V60" s="435"/>
      <c r="W60" s="435"/>
      <c r="X60" s="435"/>
      <c r="Y60" s="435"/>
      <c r="Z60" s="1"/>
      <c r="AA60" s="14"/>
      <c r="AB60" s="1">
        <f>IFERROR(IF(AB50="Non",0,IF(Annexes!M13=FALSE,0,IF(AB52&gt;=0.5,IF(AB49=Annexes!O6,IF(AB51&gt;=Annexes!O6,Annexes!O6,IF(AB51=0,0,ROUND(AB51,0))),IF(AB49=Annexes!O5,IF(AB51&gt;Annexes!O5,Annexes!O5,IF(AB51=0,0,ROUND(AB51,0))),)),0))),0)</f>
        <v>0</v>
      </c>
      <c r="AC60" s="1"/>
      <c r="AD60" s="1"/>
      <c r="AE60" s="13"/>
    </row>
    <row r="61" spans="3:31" ht="15" customHeight="1">
      <c r="T61" s="14"/>
      <c r="U61" s="435" t="s">
        <v>76</v>
      </c>
      <c r="V61" s="435"/>
      <c r="W61" s="435"/>
      <c r="X61" s="435"/>
      <c r="Y61" s="435"/>
      <c r="Z61" s="1"/>
      <c r="AA61" s="14"/>
      <c r="AB61" s="1">
        <f>IFERROR(IF(AB50="Non",0,IF(AB52&gt;=0.7,IF(AB47="OUI",IF(AB56&gt;=Annexes!O6,Annexes!O6,ROUND(AB56,0)),IF(AND(AB48="OUI",AB46&gt;=0.8),IF(AB56&gt;=Annexes!O6,Annexes!O6,ROUND(AB56,0)),0)),IF(AB52&gt;=0.5,IF(AB47="OUI",IF(AB51&gt;=Annexes!O5,Annexes!O5,ROUND(AB51,0)),IF(AND(AB48="OUI",AB46&gt;=0.8),IF(AB51&gt;=Annexes!O5,Annexes!O5,ROUND(AB51,0)),0)),0))),0)</f>
        <v>0</v>
      </c>
      <c r="AC61" s="1"/>
      <c r="AD61" s="1"/>
      <c r="AE61" s="13"/>
    </row>
    <row r="62" spans="3:31" ht="15" customHeight="1">
      <c r="C62" s="485" t="s">
        <v>402</v>
      </c>
      <c r="D62" s="485"/>
      <c r="E62" s="485"/>
      <c r="F62" s="485"/>
      <c r="G62" s="485"/>
      <c r="H62" s="485"/>
      <c r="I62" s="485"/>
      <c r="J62" s="485"/>
      <c r="K62" s="485"/>
      <c r="L62" s="485"/>
      <c r="M62" s="485"/>
      <c r="N62" s="485"/>
      <c r="O62" s="485"/>
      <c r="P62" s="40"/>
      <c r="T62" s="14"/>
      <c r="U62" s="435" t="s">
        <v>77</v>
      </c>
      <c r="V62" s="435"/>
      <c r="W62" s="435"/>
      <c r="X62" s="435"/>
      <c r="Y62" s="435"/>
      <c r="Z62" s="1"/>
      <c r="AA62" s="14"/>
      <c r="AB62" s="1">
        <f>IFERROR(IF(AB82="NON",0,IF(AB84="Non",0,IF(AB85&gt;Annexes!O7*(Annexes!M6-1),IF(Annexes!O7*(Annexes!M6-1)&gt;10000,10000,Annexes!O7*(Annexes!M6-1)),ROUND(IF(AB85&gt;10000,10000,AB85),0)))),0)</f>
        <v>0</v>
      </c>
      <c r="AC62" s="1"/>
      <c r="AD62" s="1"/>
      <c r="AE62" s="13"/>
    </row>
    <row r="63" spans="3:31" ht="15" customHeight="1">
      <c r="C63" s="485"/>
      <c r="D63" s="485"/>
      <c r="E63" s="485"/>
      <c r="F63" s="485"/>
      <c r="G63" s="485"/>
      <c r="H63" s="485"/>
      <c r="I63" s="485"/>
      <c r="J63" s="485"/>
      <c r="K63" s="485"/>
      <c r="L63" s="485"/>
      <c r="M63" s="485"/>
      <c r="N63" s="485"/>
      <c r="O63" s="485"/>
      <c r="P63" s="40"/>
      <c r="T63" s="14"/>
      <c r="U63" s="1"/>
      <c r="V63" s="1"/>
      <c r="W63" s="1"/>
      <c r="X63" s="1"/>
      <c r="Y63" s="1"/>
      <c r="Z63" s="1"/>
      <c r="AA63" s="1"/>
      <c r="AB63" s="1"/>
      <c r="AC63" s="1"/>
      <c r="AD63" s="1"/>
      <c r="AE63" s="13"/>
    </row>
    <row r="64" spans="3:31" ht="15" customHeight="1">
      <c r="C64" s="60"/>
      <c r="D64" s="501" t="str">
        <f>IF(AB52&gt;=0.7,IF(AB47="OUI","- L'entreprise a subi une perte d'au-moins 70 % en Octobre 2020 et est mentionnée en annexe 1 (S1) du décret 2020-1328, l'entreprise peut bénéficier à ce titre d'une aide plafonné à 10 000 €",IF(AND(AB48="OUI",AB46&gt;=0.8),"-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aide")),IF(AB52&gt;=0.5,IF(AB47="OUI","- L'entreprise a subi une perte d'au-moins 50 % en Octobre 2020 et est mentionnée en annexe 1 (S1) du décret 2020-1328, l'entreprise peut bénéficier à ce titre d'une aide plafonné à 1 500 €",IF(AND(AB48="OUI",AB46&gt;=0.8),"- L'entreprise a subi une perte d'au-moins 50 % en Octobre 2020 et est mentionnée en annexe 2 (S1 bis) du décret 2020-1328 ayant aussi eu une perte de CA d'au moins 80 % entre le 15/03/2020 et le 15/05/2020,"&amp;" l'entreprise peut bénéficier à ce titre d'une aide plafonné à 1 500 €","- L'entreprise n'est pas mentionnée en annexe 1 (S1) ou en annexe 2 (S1 bis) du décret 2020-1328 et ayant subi une perte de CA d'au moins 80 % entre le 15/03/2020 et le 15/05/2020, l'entreprise ne peut donc pas bénéficier de cette aide")),"- L'entreprise n'a pas subi de perte d'au-moins 50 % sur son CA d'Octobre 2020"))</f>
        <v>- L'entreprise n'a pas subi de perte d'au-moins 50 % sur son CA d'Octobre 2020</v>
      </c>
      <c r="E64" s="501"/>
      <c r="F64" s="501"/>
      <c r="G64" s="501"/>
      <c r="H64" s="501"/>
      <c r="I64" s="501"/>
      <c r="J64" s="501"/>
      <c r="K64" s="501"/>
      <c r="L64" s="501"/>
      <c r="M64" s="501"/>
      <c r="N64" s="501"/>
      <c r="O64" s="501"/>
      <c r="P64" s="40"/>
      <c r="T64" s="14"/>
      <c r="U64" s="1"/>
      <c r="V64" s="1"/>
      <c r="W64" s="1"/>
      <c r="X64" s="1"/>
      <c r="Y64" s="1"/>
      <c r="Z64" s="1"/>
      <c r="AA64" s="1"/>
      <c r="AB64" s="1"/>
      <c r="AC64" s="1"/>
      <c r="AD64" s="1"/>
      <c r="AE64" s="13"/>
    </row>
    <row r="65" spans="2:31" ht="15" customHeight="1">
      <c r="C65" s="60"/>
      <c r="D65" s="501"/>
      <c r="E65" s="501"/>
      <c r="F65" s="501"/>
      <c r="G65" s="501"/>
      <c r="H65" s="501"/>
      <c r="I65" s="501"/>
      <c r="J65" s="501"/>
      <c r="K65" s="501"/>
      <c r="L65" s="501"/>
      <c r="M65" s="501"/>
      <c r="N65" s="501"/>
      <c r="O65" s="501"/>
      <c r="P65" s="40"/>
      <c r="T65" s="14"/>
      <c r="U65" s="1"/>
      <c r="V65" s="1"/>
      <c r="W65" s="1"/>
      <c r="X65" s="1"/>
      <c r="Y65" s="1"/>
      <c r="Z65" s="1"/>
      <c r="AA65" s="1"/>
      <c r="AB65" s="1"/>
      <c r="AC65" s="1"/>
      <c r="AD65" s="1"/>
      <c r="AE65" s="13"/>
    </row>
    <row r="66" spans="2:31" ht="15" customHeight="1">
      <c r="C66" s="60"/>
      <c r="D66" s="60" t="str">
        <f>IFERROR(IF('Mon Entreprise'!K8&gt;=Annexes!O20,IF(AB42&gt;=AB44,"- Le CA de référence est celui d'octobre 2019, soit une perte de "&amp;ROUND(AB42,0)&amp;" €"&amp;" ==&gt; "&amp;ROUND(AE42*100,0)&amp;" %","- Le CA de référence est celui de la création, soit une perte de "&amp;ROUND(AB44,0)&amp;" €"&amp;" ==&gt; "&amp;ROUND(AE44*100,0)&amp;" %"),IF(AB42&gt;=AB43,"- Le CA de référence est celui de Octobre 2019, soit une perte de "&amp;ROUND(AB42,0)&amp;" €"&amp;" ==&gt; "&amp;ROUND(AE42*100,0)&amp;" %","- Le CA de référence est celui de l'exercice 2019, soit une perte de "&amp;ROUND(AB43,0)&amp;" €"&amp;" ==&gt; "&amp;ROUND(AE43*100,0)&amp;" %")),"")</f>
        <v>- Le CA de référence est celui de Octobre 2019, soit une perte de 0 € ==&gt; 0 %</v>
      </c>
      <c r="E66" s="60"/>
      <c r="F66" s="60"/>
      <c r="G66" s="60"/>
      <c r="H66" s="122"/>
      <c r="I66" s="60"/>
      <c r="J66" s="60"/>
      <c r="K66" s="60"/>
      <c r="M66" s="60"/>
      <c r="N66" s="60"/>
      <c r="O66" s="60"/>
      <c r="P66" s="40"/>
      <c r="T66" s="334"/>
      <c r="U66" s="1"/>
      <c r="V66" s="1"/>
      <c r="W66" s="1"/>
      <c r="X66" s="1"/>
      <c r="Y66" s="1"/>
      <c r="Z66" s="1"/>
      <c r="AA66" s="1"/>
      <c r="AB66" s="1"/>
      <c r="AC66" s="1"/>
      <c r="AD66" s="1"/>
      <c r="AE66" s="13"/>
    </row>
    <row r="67" spans="2:31" ht="15" customHeight="1">
      <c r="C67" s="60"/>
      <c r="D67" s="60" t="str">
        <f>IF(AB52&gt;=0.7,IF(AB47="OUI","- Le CA de référence est plafonné à 60 %, il est donc de "&amp;ROUND(AB55*0.6,0)&amp;" €",IF(AND(AB48="OUI",AB46&gt;=0.8),"- Le CA de référence est plafonné à 60 %, il est donc de "&amp;ROUND(AB55*0.6,0)&amp;" €","- Sans ticket modérateur")),"- Sans ticket modérateur")</f>
        <v>- Sans ticket modérateur</v>
      </c>
      <c r="E67" s="60"/>
      <c r="F67" s="60"/>
      <c r="G67" s="60"/>
      <c r="H67" s="60"/>
      <c r="I67" s="60"/>
      <c r="J67" s="60"/>
      <c r="K67" s="60"/>
      <c r="L67" s="60"/>
      <c r="M67" s="60"/>
      <c r="N67" s="60"/>
      <c r="O67" s="60"/>
      <c r="P67" s="40"/>
      <c r="T67" s="29"/>
      <c r="U67" s="1"/>
      <c r="V67" s="1"/>
      <c r="W67" s="1"/>
      <c r="X67" s="1"/>
      <c r="Y67" s="1"/>
      <c r="Z67" s="1"/>
      <c r="AA67" s="1"/>
      <c r="AB67" s="1"/>
      <c r="AC67" s="1"/>
      <c r="AD67" s="1"/>
      <c r="AE67" s="13"/>
    </row>
    <row r="68" spans="2:31" ht="15" customHeight="1" thickBot="1">
      <c r="T68" s="14"/>
      <c r="U68" s="1"/>
      <c r="V68" s="1"/>
      <c r="W68" s="1"/>
      <c r="X68" s="1"/>
      <c r="Y68" s="1"/>
      <c r="Z68" s="1"/>
      <c r="AA68" s="1"/>
      <c r="AB68" s="1"/>
      <c r="AC68" s="1"/>
      <c r="AD68" s="1"/>
      <c r="AE68" s="13"/>
    </row>
    <row r="69" spans="2:31" ht="15" customHeight="1">
      <c r="D69" s="450" t="str">
        <f>IFERROR(IF(AB50="Non","Vous avez débuté votre activité après le 30 Septembre 2020, vous ne pouvez donc pas bénéficier de cette aide",IF(AB52&gt;=0.7,IF(AB47="OUI",IF(AB56&gt;=Annexes!O6,"Dans votre cas, l'aide est Plafonnée, à "&amp;Annexes!O6&amp;" € pour le mois d'octobre","Vous pouvez bénéficier, au titre de cette aide, d'un montant de "&amp;ROUND(AB56,0)&amp;" € pour le mois d'octobre"),IF(AND(AB48="OUI",AB46&gt;=0.8),IF(AB56&gt;=Annexes!O6,"Dans votre cas, l'aide est Plafonnée, à "&amp;Annexes!O6&amp;" € pour le mois d'octobre","Vous pouvez bénéficier, au titre de cette aide, d'un montant de "&amp;ROUND(AB56,0)&amp;" € pour le mois d'octobre"),"L'entreprise n'est pas mentionnée en annexe 1 (S1) ou en annexe 2 (S1 bis) du décret 2020-1328 et ayant subi une perte de CA d'au moins 80 % entre le 15/03/2020 et le 15/05/2020, l'entreprise ne peut donc pas bénéficier de cette aide")),IF(AB52&gt;=0.5,IF(AB47="OUI",IF(AB51&gt;=Annexes!O5,"Dans votre cas, l'aide est Plafonnée, à "&amp;Annexes!O5&amp;" € pour le mois d'octobre","Vous pouvez bénéficier, au titre de cette aide, d'un montant de "&amp;ROUND(AB51,0)&amp;" € pour le mois d'octobre"),IF(AND(AB48="OUI",AB46&gt;=0.8),IF(AB51&gt;=Annexes!O5,"Dans votre cas, l'aide est Plafonnée, à "&amp;Annexes!O5&amp;" € pour le mois d'octobre","Vous pouvez bénéficier, au titre de cette aide, d'un montant de "&amp;ROUND(AB51,0)&amp;" € pour le mois d'octobre"),"L'entreprise n'est pas mentionnée en annexe 1 (S1) ou en annexe 2 (S1 bis) du décret 2020-1328 et ayant subi une perte de CA d'au moins 80 % entre le 15/03/2020 et le 15/05/2020, l'entreprise ne peut donc pas bénéficier de cette aide")),"L'entreprise n'a pas subi de perte d'au-moins 50 % sur son CA d'Octobre 2020"))),"Vous n'avez pas indiqué de chiffre d'affaires de référence")</f>
        <v>L'entreprise n'a pas subi de perte d'au-moins 50 % sur son CA d'Octobre 2020</v>
      </c>
      <c r="E69" s="451"/>
      <c r="F69" s="451"/>
      <c r="G69" s="451"/>
      <c r="H69" s="451"/>
      <c r="I69" s="451"/>
      <c r="J69" s="451"/>
      <c r="K69" s="451"/>
      <c r="L69" s="451"/>
      <c r="M69" s="451"/>
      <c r="N69" s="451"/>
      <c r="O69" s="452"/>
      <c r="T69" s="30"/>
      <c r="U69" s="1"/>
      <c r="V69" s="1"/>
      <c r="W69" s="1"/>
      <c r="X69" s="1"/>
      <c r="Y69" s="1"/>
      <c r="Z69" s="1"/>
      <c r="AA69" s="1"/>
      <c r="AB69" s="1"/>
      <c r="AC69" s="1"/>
      <c r="AD69" s="1"/>
      <c r="AE69" s="13"/>
    </row>
    <row r="70" spans="2:31" ht="15" customHeight="1">
      <c r="D70" s="453"/>
      <c r="E70" s="454"/>
      <c r="F70" s="454"/>
      <c r="G70" s="454"/>
      <c r="H70" s="454"/>
      <c r="I70" s="454"/>
      <c r="J70" s="454"/>
      <c r="K70" s="454"/>
      <c r="L70" s="454"/>
      <c r="M70" s="454"/>
      <c r="N70" s="454"/>
      <c r="O70" s="455"/>
      <c r="T70" s="20"/>
      <c r="U70" s="38"/>
      <c r="V70" s="1"/>
      <c r="W70" s="1"/>
      <c r="X70" s="1"/>
      <c r="Y70" s="1"/>
      <c r="Z70" s="1"/>
      <c r="AA70" s="1"/>
      <c r="AB70" s="1"/>
      <c r="AC70" s="1"/>
      <c r="AD70" s="1"/>
      <c r="AE70" s="13"/>
    </row>
    <row r="71" spans="2:31" ht="15.75" customHeight="1">
      <c r="D71" s="453"/>
      <c r="E71" s="454"/>
      <c r="F71" s="454"/>
      <c r="G71" s="454"/>
      <c r="H71" s="454"/>
      <c r="I71" s="454"/>
      <c r="J71" s="454"/>
      <c r="K71" s="454"/>
      <c r="L71" s="454"/>
      <c r="M71" s="454"/>
      <c r="N71" s="454"/>
      <c r="O71" s="455"/>
      <c r="T71" s="14"/>
      <c r="U71" s="1"/>
      <c r="V71" s="1"/>
      <c r="W71" s="1"/>
      <c r="X71" s="1"/>
      <c r="Y71" s="1"/>
      <c r="Z71" s="1"/>
      <c r="AA71" s="1"/>
      <c r="AB71" s="1"/>
      <c r="AC71" s="1"/>
      <c r="AD71" s="1"/>
      <c r="AE71" s="13"/>
    </row>
    <row r="72" spans="2:31" ht="15.75" customHeight="1" thickBot="1">
      <c r="D72" s="456"/>
      <c r="E72" s="457"/>
      <c r="F72" s="457"/>
      <c r="G72" s="457"/>
      <c r="H72" s="457"/>
      <c r="I72" s="457"/>
      <c r="J72" s="457"/>
      <c r="K72" s="457"/>
      <c r="L72" s="457"/>
      <c r="M72" s="457"/>
      <c r="N72" s="457"/>
      <c r="O72" s="458"/>
      <c r="T72" s="14"/>
      <c r="U72" s="1"/>
      <c r="V72" s="1"/>
      <c r="W72" s="1"/>
      <c r="X72" s="1"/>
      <c r="Y72" s="1"/>
      <c r="Z72" s="1"/>
      <c r="AA72" s="1"/>
      <c r="AB72" s="1"/>
      <c r="AC72" s="1"/>
      <c r="AD72" s="1"/>
      <c r="AE72" s="13"/>
    </row>
    <row r="73" spans="2:31" ht="15" customHeight="1">
      <c r="C73" s="127"/>
      <c r="D73" s="127"/>
      <c r="E73" s="10"/>
      <c r="F73" s="10"/>
      <c r="G73" s="10"/>
      <c r="H73" s="10"/>
      <c r="I73" s="10"/>
      <c r="J73" s="10"/>
      <c r="K73" s="10"/>
      <c r="L73" s="10"/>
      <c r="M73" s="128"/>
      <c r="N73" s="10"/>
      <c r="O73" s="10"/>
      <c r="T73" s="14"/>
      <c r="U73" s="1"/>
      <c r="V73" s="1"/>
      <c r="W73" s="1"/>
      <c r="X73" s="1"/>
      <c r="Y73" s="1"/>
      <c r="Z73" s="1"/>
      <c r="AA73" s="1"/>
      <c r="AB73" s="1"/>
      <c r="AC73" s="1"/>
      <c r="AD73" s="1"/>
      <c r="AE73" s="13"/>
    </row>
    <row r="74" spans="2:31" ht="15" customHeight="1">
      <c r="B74" s="5"/>
      <c r="C74" s="5"/>
      <c r="D74" s="5"/>
      <c r="P74" s="1"/>
      <c r="T74" s="14"/>
      <c r="U74" s="1"/>
      <c r="V74" s="1"/>
      <c r="W74" s="1"/>
      <c r="X74" s="1"/>
      <c r="Y74" s="1"/>
      <c r="Z74" s="1"/>
      <c r="AA74" s="1"/>
      <c r="AB74" s="1"/>
      <c r="AC74" s="1"/>
      <c r="AD74" s="1"/>
      <c r="AE74" s="13"/>
    </row>
    <row r="75" spans="2:31" ht="15.75" customHeight="1">
      <c r="B75" s="58"/>
      <c r="C75" s="121" t="s">
        <v>63</v>
      </c>
      <c r="D75" s="121"/>
      <c r="E75" s="60"/>
      <c r="F75" s="60"/>
      <c r="G75" s="60"/>
      <c r="H75" s="60"/>
      <c r="I75" s="60"/>
      <c r="J75" s="60"/>
      <c r="K75" s="60"/>
      <c r="L75" s="326"/>
      <c r="M75" s="60"/>
      <c r="N75" s="60"/>
      <c r="O75" s="60"/>
      <c r="P75" s="44"/>
      <c r="T75" s="14"/>
      <c r="U75" s="1"/>
      <c r="V75" s="1"/>
      <c r="W75" s="1"/>
      <c r="X75" s="1"/>
      <c r="Y75" s="1"/>
      <c r="Z75" s="1"/>
      <c r="AA75" s="1"/>
      <c r="AB75" s="1"/>
      <c r="AC75" s="1"/>
      <c r="AD75" s="1"/>
      <c r="AE75" s="13"/>
    </row>
    <row r="76" spans="2:31" ht="15" customHeight="1">
      <c r="B76" s="40"/>
      <c r="C76" s="60"/>
      <c r="D76" s="60" t="str">
        <f>"- Nombre de jours de fermetures au mois d'octobre : "&amp;IF(Annexes!M9=FALSE,0,IF(Annexes!M6=1,0,Annexes!M6-1))&amp;" jour(s)"</f>
        <v>- Nombre de jours de fermetures au mois d'octobre : 0 jour(s)</v>
      </c>
      <c r="E76" s="60"/>
      <c r="F76" s="60"/>
      <c r="G76" s="60"/>
      <c r="H76" s="60"/>
      <c r="I76" s="60"/>
      <c r="J76" s="60"/>
      <c r="K76" s="60"/>
      <c r="L76" s="60"/>
      <c r="M76" s="60"/>
      <c r="N76" s="60"/>
      <c r="O76" s="60"/>
      <c r="P76" s="44"/>
      <c r="Q76" s="44"/>
      <c r="R76" s="1"/>
      <c r="S76" s="1"/>
      <c r="T76" s="189"/>
      <c r="U76" s="435" t="s">
        <v>20</v>
      </c>
      <c r="V76" s="435"/>
      <c r="W76" s="435"/>
      <c r="X76" s="1"/>
      <c r="Y76" s="338" t="s">
        <v>6</v>
      </c>
      <c r="Z76" s="338"/>
      <c r="AA76" s="338"/>
      <c r="AB76" s="338" t="s">
        <v>23</v>
      </c>
      <c r="AC76" s="338"/>
      <c r="AD76" s="338"/>
      <c r="AE76" s="26" t="s">
        <v>24</v>
      </c>
    </row>
    <row r="77" spans="2:31" ht="15" customHeight="1">
      <c r="B77" s="58"/>
      <c r="C77" s="121"/>
      <c r="D77" s="121"/>
      <c r="E77" s="60" t="str">
        <f>IF(Annexes!M9=FALSE,"Vous n'avez pas coché la case Fermeture administrative de Septembre à Octobre",IF(Annexes!M6=1,"Vous n'avez pas de jour de fermeture en Octobre",""))</f>
        <v>Vous n'avez pas coché la case Fermeture administrative de Septembre à Octobre</v>
      </c>
      <c r="F77" s="60"/>
      <c r="G77" s="60"/>
      <c r="H77" s="60"/>
      <c r="I77" s="60"/>
      <c r="J77" s="60"/>
      <c r="K77" s="60"/>
      <c r="L77" s="60"/>
      <c r="M77" s="60"/>
      <c r="N77" s="60"/>
      <c r="O77" s="60"/>
      <c r="P77" s="61"/>
      <c r="Q77" s="44"/>
      <c r="R77" s="44"/>
      <c r="S77" s="1"/>
      <c r="T77" s="436" t="s">
        <v>29</v>
      </c>
      <c r="U77" s="435"/>
      <c r="V77" s="435"/>
      <c r="W77" s="435"/>
      <c r="X77" s="1"/>
      <c r="Y77" s="7">
        <f>'Mon Entreprise'!M84</f>
        <v>0</v>
      </c>
      <c r="Z77" s="21"/>
      <c r="AA77" s="22"/>
      <c r="AB77" s="7">
        <f>IF('Mon Entreprise'!I84-'Mon Entreprise'!M84&lt;0,0,'Mon Entreprise'!I84-'Mon Entreprise'!M84)</f>
        <v>0</v>
      </c>
      <c r="AC77" s="1"/>
      <c r="AD77" s="14"/>
      <c r="AE77" s="27">
        <f>IFERROR(1-'Mon Entreprise'!M84/'Mon Entreprise'!I84,0)</f>
        <v>0</v>
      </c>
    </row>
    <row r="78" spans="2:31" ht="15" customHeight="1">
      <c r="B78" s="62"/>
      <c r="C78" s="123"/>
      <c r="D78" s="123" t="str">
        <f>IFERROR(IF('Mon Entreprise'!K8&gt;=Annexes!O20,IF(AB77&gt;=AB79,"- Le CA de référence est celui d'octobre 2019, soit une perte de "&amp;ROUND(AB77,0)&amp;" €"&amp;" ==&gt; "&amp;ROUND(AE77*100,0)&amp;" %","- Le CA de référence est celui de la création, soit une perte de "&amp;ROUND(AB79,0)&amp;" €"&amp;" ==&gt; "&amp;ROUND(AE79*100,0)&amp;" %"),IF(AB77&gt;=AB78,"- Le CA de référence est celui d'Octobre 2019, soit une perte de "&amp;ROUND(AB77,0)&amp;" €"&amp;" ==&gt; "&amp;ROUND(AE77*100,0)&amp;" %","- Le CA de référence est celui de l'exercice 2019, soit une perte de "&amp;ROUND(AB78,0)&amp;" €"&amp;" ==&gt; "&amp;ROUND(AE78*100,0)&amp;" %")),"")</f>
        <v>- Le CA de référence est celui d'Octobre 2019, soit une perte de 0 € ==&gt; 0 %</v>
      </c>
      <c r="E78" s="60"/>
      <c r="F78" s="60"/>
      <c r="G78" s="60"/>
      <c r="H78" s="60"/>
      <c r="I78" s="60"/>
      <c r="J78" s="60"/>
      <c r="K78" s="60"/>
      <c r="L78" s="60"/>
      <c r="M78" s="60"/>
      <c r="N78" s="60"/>
      <c r="O78" s="60"/>
      <c r="P78" s="40"/>
      <c r="Q78" s="44"/>
      <c r="R78" s="44"/>
      <c r="S78" s="1"/>
      <c r="T78" s="436" t="s">
        <v>25</v>
      </c>
      <c r="U78" s="435"/>
      <c r="V78" s="435"/>
      <c r="W78" s="435"/>
      <c r="X78" s="1"/>
      <c r="Y78" s="7">
        <f>'Mon Entreprise'!I71*(Annexes!M4-1)/360</f>
        <v>0</v>
      </c>
      <c r="Z78" s="21"/>
      <c r="AA78" s="22"/>
      <c r="AB78" s="7">
        <f>IF('Mon Entreprise'!I71*(Annexes!M6-1)/360-'Mon Entreprise'!M84&lt;0,0,'Mon Entreprise'!I71*(Annexes!M6-1)/360-'Mon Entreprise'!M84)</f>
        <v>0</v>
      </c>
      <c r="AC78" s="7"/>
      <c r="AD78" s="14"/>
      <c r="AE78" s="27">
        <f>IFERROR(1-'Mon Entreprise'!M84/('Mon Entreprise'!I71*(Annexes!M6-1)/360),0)</f>
        <v>0</v>
      </c>
    </row>
    <row r="79" spans="2:31" ht="15" customHeight="1" thickBot="1">
      <c r="C79" s="5"/>
      <c r="D79" s="5"/>
      <c r="Q79" s="61"/>
      <c r="R79" s="44"/>
      <c r="S79" s="1"/>
      <c r="T79" s="436" t="s">
        <v>22</v>
      </c>
      <c r="U79" s="435"/>
      <c r="V79" s="435"/>
      <c r="W79" s="435"/>
      <c r="X79" s="1"/>
      <c r="Y79" s="18" t="str">
        <f>IFERROR(IF('Mon Entreprise'!K8&gt;=Annexes!O20,'Mon Entreprise'!I141,"NC"),"NC")</f>
        <v>NC</v>
      </c>
      <c r="Z79" s="23"/>
      <c r="AA79" s="22"/>
      <c r="AB79" s="37" t="str">
        <f>IFERROR(IF('Mon Entreprise'!K8&gt;=Annexes!O20,IF('Mon Entreprise'!I141-'Mon Entreprise'!M84&lt;0,0,'Mon Entreprise'!I141-'Mon Entreprise'!M84),"NC"),"NC")</f>
        <v>NC</v>
      </c>
      <c r="AC79" s="333"/>
      <c r="AD79" s="14"/>
      <c r="AE79" s="28" t="str">
        <f>IFERROR(IF('Mon Entreprise'!K8&gt;=Annexes!O20,1-'Mon Entreprise'!M84/'Mon Entreprise'!I141,"NC"),"NC")</f>
        <v>NC</v>
      </c>
    </row>
    <row r="80" spans="2:31" ht="15" customHeight="1">
      <c r="B80" s="5"/>
      <c r="C80" s="5"/>
      <c r="D80" s="476" t="str">
        <f>IFERROR(IF(AB82="NON","Vous avez débuté votre activité après le 30 Septembre 2020, vous ne pouvez donc pas bénéficier de cette aide",IF(AB84="Non","Vous n'avez pas eu de fermeture administrative en octobre, vous ne pouvez donc pas bénéficier de cette aide",IF(AB85&gt;Annexes!O7*(Annexes!M6-1),"Dans votre cas, l'aide est Plafonnée sur 333 €/jour, soit "&amp;IF(Annexes!O7*(Annexes!M6-1)&gt;10000,10000,Annexes!O7*(Annexes!M6-1))&amp;" €, pour le mois d'octobre","Vous pouvez bénéficier, au titre de cette aide, d'un montant de "&amp;ROUND(IF(AB85&gt;10000,10000,AB85),0)&amp;" € pour le mois d'octobre"))),"Vous n'avez pas indiqué de chiffre d'affaires de référence")</f>
        <v>Vous n'avez pas eu de fermeture administrative en octobre, vous ne pouvez donc pas bénéficier de cette aide</v>
      </c>
      <c r="E80" s="477"/>
      <c r="F80" s="477"/>
      <c r="G80" s="477"/>
      <c r="H80" s="477"/>
      <c r="I80" s="477"/>
      <c r="J80" s="477"/>
      <c r="K80" s="477"/>
      <c r="L80" s="477"/>
      <c r="M80" s="477"/>
      <c r="N80" s="477"/>
      <c r="O80" s="478"/>
      <c r="Q80" s="40"/>
      <c r="R80" s="61"/>
      <c r="T80" s="334"/>
      <c r="U80" s="333"/>
      <c r="V80" s="333"/>
      <c r="W80" s="333"/>
      <c r="X80" s="1"/>
      <c r="Y80" s="18"/>
      <c r="Z80" s="23"/>
      <c r="AA80" s="21"/>
      <c r="AB80" s="37"/>
      <c r="AC80" s="333"/>
      <c r="AD80" s="1"/>
      <c r="AE80" s="28"/>
    </row>
    <row r="81" spans="2:31" ht="15" customHeight="1">
      <c r="B81" s="5"/>
      <c r="C81" s="5"/>
      <c r="D81" s="479"/>
      <c r="E81" s="480"/>
      <c r="F81" s="480"/>
      <c r="G81" s="480"/>
      <c r="H81" s="480"/>
      <c r="I81" s="480"/>
      <c r="J81" s="480"/>
      <c r="K81" s="480"/>
      <c r="L81" s="480"/>
      <c r="M81" s="480"/>
      <c r="N81" s="480"/>
      <c r="O81" s="481"/>
      <c r="Q81" s="40"/>
      <c r="R81" s="61"/>
      <c r="T81" s="14"/>
      <c r="U81" s="1"/>
      <c r="V81" s="1"/>
      <c r="W81" s="1"/>
      <c r="X81" s="1"/>
      <c r="Y81" s="1"/>
      <c r="Z81" s="1"/>
      <c r="AA81" s="1"/>
      <c r="AB81" s="1"/>
      <c r="AC81" s="1"/>
      <c r="AD81" s="1"/>
      <c r="AE81" s="13"/>
    </row>
    <row r="82" spans="2:31" ht="15" customHeight="1">
      <c r="B82" s="5"/>
      <c r="C82" s="5"/>
      <c r="D82" s="479"/>
      <c r="E82" s="480"/>
      <c r="F82" s="480"/>
      <c r="G82" s="480"/>
      <c r="H82" s="480"/>
      <c r="I82" s="480"/>
      <c r="J82" s="480"/>
      <c r="K82" s="480"/>
      <c r="L82" s="480"/>
      <c r="M82" s="480"/>
      <c r="N82" s="480"/>
      <c r="O82" s="481"/>
      <c r="R82" s="40"/>
      <c r="T82" s="14"/>
      <c r="U82" s="448" t="s">
        <v>72</v>
      </c>
      <c r="V82" s="448"/>
      <c r="W82" s="448"/>
      <c r="X82" s="448"/>
      <c r="Y82" s="448"/>
      <c r="Z82" s="330"/>
      <c r="AA82" s="14"/>
      <c r="AB82" s="333" t="str">
        <f>IF('Mon Entreprise'!K8&lt;=Annexes!Q24,"Oui","Non")</f>
        <v>Oui</v>
      </c>
      <c r="AC82" s="1"/>
      <c r="AD82" s="1"/>
      <c r="AE82" s="13"/>
    </row>
    <row r="83" spans="2:31" ht="15" customHeight="1" thickBot="1">
      <c r="C83" s="5"/>
      <c r="D83" s="482"/>
      <c r="E83" s="483"/>
      <c r="F83" s="483"/>
      <c r="G83" s="483"/>
      <c r="H83" s="483"/>
      <c r="I83" s="483"/>
      <c r="J83" s="483"/>
      <c r="K83" s="483"/>
      <c r="L83" s="483"/>
      <c r="M83" s="483"/>
      <c r="N83" s="483"/>
      <c r="O83" s="484"/>
      <c r="T83" s="14"/>
      <c r="U83" s="435" t="s">
        <v>78</v>
      </c>
      <c r="V83" s="435"/>
      <c r="W83" s="435"/>
      <c r="X83" s="435"/>
      <c r="Y83" s="435"/>
      <c r="Z83" s="333"/>
      <c r="AA83" s="14"/>
      <c r="AB83" s="333">
        <f>IF(Annexes!M9=FALSE,0,IF(Annexes!M6=1,0,Annexes!M6-1))</f>
        <v>0</v>
      </c>
      <c r="AC83" s="1"/>
      <c r="AD83" s="1"/>
      <c r="AE83" s="13"/>
    </row>
    <row r="84" spans="2:31" ht="15.75" customHeight="1">
      <c r="B84" s="5"/>
      <c r="C84" s="5"/>
      <c r="D84" s="5"/>
      <c r="T84" s="14"/>
      <c r="U84" s="435" t="s">
        <v>79</v>
      </c>
      <c r="V84" s="435"/>
      <c r="W84" s="435"/>
      <c r="X84" s="435"/>
      <c r="Y84" s="435"/>
      <c r="Z84" s="333"/>
      <c r="AA84" s="14"/>
      <c r="AB84" s="333" t="str">
        <f>IF(Annexes!M9=FALSE,"Non",IF(Annexes!M6=1,"Non","Oui"))</f>
        <v>Non</v>
      </c>
      <c r="AC84" s="1"/>
      <c r="AD84" s="1"/>
      <c r="AE84" s="13"/>
    </row>
    <row r="85" spans="2:31" ht="15" customHeight="1">
      <c r="T85" s="14"/>
      <c r="U85" s="435" t="s">
        <v>80</v>
      </c>
      <c r="V85" s="435"/>
      <c r="W85" s="435"/>
      <c r="X85" s="435"/>
      <c r="Y85" s="435"/>
      <c r="Z85" s="130"/>
      <c r="AA85" s="14"/>
      <c r="AB85" s="37">
        <f>IF('Mon Entreprise'!K8&gt;=Annexes!O20,IF(AB77&gt;=AB79,AB77,AB79),IF(AB77&gt;=AB78,AB77,AB78))</f>
        <v>0</v>
      </c>
      <c r="AC85" s="1"/>
      <c r="AD85" s="1"/>
      <c r="AE85" s="13"/>
    </row>
    <row r="86" spans="2:31" ht="15.75" customHeight="1">
      <c r="B86" s="5"/>
      <c r="C86" s="5"/>
      <c r="D86" s="5"/>
      <c r="T86" s="14"/>
      <c r="U86" s="333"/>
      <c r="V86" s="333"/>
      <c r="W86" s="333"/>
      <c r="X86" s="333"/>
      <c r="Y86" s="333"/>
      <c r="Z86" s="130"/>
      <c r="AA86" s="1"/>
      <c r="AB86" s="37"/>
      <c r="AC86" s="1"/>
      <c r="AD86" s="1"/>
      <c r="AE86" s="13"/>
    </row>
    <row r="87" spans="2:31" ht="15" customHeight="1" thickBot="1">
      <c r="B87" s="221"/>
      <c r="C87" s="433" t="s">
        <v>30</v>
      </c>
      <c r="D87" s="433"/>
      <c r="E87" s="433"/>
      <c r="F87" s="433"/>
      <c r="G87" s="433"/>
      <c r="H87" s="433"/>
      <c r="I87" s="222"/>
      <c r="J87" s="222"/>
      <c r="K87" s="222"/>
      <c r="L87" s="222"/>
      <c r="M87" s="222"/>
      <c r="N87" s="222"/>
      <c r="O87" s="222"/>
      <c r="P87" s="1"/>
      <c r="T87" s="15"/>
      <c r="U87" s="10"/>
      <c r="V87" s="10"/>
      <c r="W87" s="10"/>
      <c r="X87" s="10"/>
      <c r="Y87" s="10"/>
      <c r="Z87" s="10"/>
      <c r="AA87" s="10"/>
      <c r="AB87" s="10"/>
      <c r="AC87" s="10"/>
      <c r="AD87" s="10"/>
      <c r="AE87" s="4"/>
    </row>
    <row r="88" spans="2:31" ht="15.75">
      <c r="B88" s="63"/>
      <c r="C88" s="24"/>
      <c r="D88" s="24"/>
      <c r="E88" s="24"/>
      <c r="F88" s="24"/>
      <c r="G88" s="24"/>
      <c r="H88" s="24"/>
      <c r="I88" s="1"/>
      <c r="J88" s="1"/>
      <c r="K88" s="1"/>
      <c r="L88" s="1"/>
      <c r="M88" s="1"/>
      <c r="N88" s="1"/>
      <c r="O88" s="1"/>
      <c r="P88" s="1"/>
      <c r="T88" s="14"/>
      <c r="U88" s="1"/>
      <c r="V88" s="1"/>
      <c r="W88" s="1"/>
      <c r="X88" s="1"/>
      <c r="Y88" s="1"/>
      <c r="Z88" s="1"/>
      <c r="AA88" s="1"/>
      <c r="AB88" s="1"/>
      <c r="AC88" s="1"/>
      <c r="AD88" s="1"/>
      <c r="AE88" s="13"/>
    </row>
    <row r="89" spans="2:31" ht="15.75">
      <c r="B89" s="103"/>
      <c r="C89" s="434" t="s">
        <v>96</v>
      </c>
      <c r="D89" s="434"/>
      <c r="E89" s="434"/>
      <c r="F89" s="434"/>
      <c r="G89" s="434"/>
      <c r="H89" s="434"/>
      <c r="I89" s="434"/>
      <c r="J89" s="434"/>
      <c r="K89" s="434"/>
      <c r="L89" s="434"/>
      <c r="M89" s="434"/>
      <c r="N89" s="434"/>
      <c r="O89" s="434"/>
      <c r="P89" s="1"/>
      <c r="Q89" s="1"/>
      <c r="T89" s="14"/>
      <c r="U89" s="1"/>
      <c r="V89" s="1"/>
      <c r="W89" s="1"/>
      <c r="X89" s="1"/>
      <c r="Y89" s="1"/>
      <c r="Z89" s="1"/>
      <c r="AA89" s="1"/>
      <c r="AB89" s="1"/>
      <c r="AC89" s="1"/>
      <c r="AD89" s="1"/>
      <c r="AE89" s="13"/>
    </row>
    <row r="90" spans="2:31" ht="15.75">
      <c r="B90" s="103"/>
      <c r="C90" s="335"/>
      <c r="D90" s="60" t="s">
        <v>26</v>
      </c>
      <c r="E90" s="335"/>
      <c r="F90" s="335"/>
      <c r="G90" s="335"/>
      <c r="H90" s="335"/>
      <c r="I90" s="335"/>
      <c r="J90" s="335"/>
      <c r="K90" s="335"/>
      <c r="L90" s="335"/>
      <c r="M90" s="335"/>
      <c r="N90" s="335"/>
      <c r="O90" s="335"/>
      <c r="P90" s="1"/>
      <c r="Q90" s="1"/>
      <c r="T90" s="14"/>
      <c r="U90" s="1"/>
      <c r="V90" s="1"/>
      <c r="W90" s="1"/>
      <c r="X90" s="1"/>
      <c r="Y90" s="1"/>
      <c r="Z90" s="1"/>
      <c r="AA90" s="1"/>
      <c r="AB90" s="1"/>
      <c r="AC90" s="1"/>
      <c r="AD90" s="1"/>
      <c r="AE90" s="13"/>
    </row>
    <row r="91" spans="2:31" ht="16.5" hidden="1" thickBot="1">
      <c r="B91" s="24"/>
      <c r="C91" s="24"/>
      <c r="D91" s="24"/>
      <c r="E91" s="24"/>
      <c r="F91" s="24"/>
      <c r="G91" s="24"/>
      <c r="H91" s="24"/>
      <c r="P91" s="1"/>
      <c r="Q91" s="1"/>
      <c r="R91" s="1"/>
      <c r="S91" s="1"/>
      <c r="T91" s="14"/>
      <c r="U91" s="1"/>
      <c r="V91" s="1"/>
      <c r="W91" s="1"/>
      <c r="X91" s="1"/>
      <c r="Y91" s="1"/>
      <c r="Z91" s="1"/>
      <c r="AA91" s="1"/>
      <c r="AB91" s="1"/>
      <c r="AC91" s="1"/>
      <c r="AD91" s="1"/>
      <c r="AE91" s="13"/>
    </row>
    <row r="92" spans="2:31" ht="15.75" hidden="1">
      <c r="B92" s="24"/>
      <c r="C92" s="24"/>
      <c r="D92" s="437" t="str">
        <f>IFERROR(IF(AND(AB117=0,AB118=0),"Vous ne pouvez pas bénéficier du fonds de solidarité pour le mois de Novembre 2020",IF(AB117&gt;AB118,"Votre entreprise peut bénéficier d'une aide de "&amp;AB117&amp;" €, au titre d'une perte d'au-moins 50 % de votre CA en Novembre 2020","Votre entreprise peut bénéficier d'une aide de "&amp;AB118&amp;" €, au titre d'une fermeture Administrative, ou d'une perte d'au moins 50 % de votre CA pour les activités mentionnées en annexe 1, ou en annexe 2 ayant une perte de CA d'au moins 80 % entre le 15/03/2020 et le 15/05/2020")),"Vous n'avez pas indiqué de chiffre d'affaires de référence")</f>
        <v>Vous ne pouvez pas bénéficier du fonds de solidarité pour le mois de Novembre 2020</v>
      </c>
      <c r="E92" s="438"/>
      <c r="F92" s="438"/>
      <c r="G92" s="438"/>
      <c r="H92" s="438"/>
      <c r="I92" s="438"/>
      <c r="J92" s="438"/>
      <c r="K92" s="438"/>
      <c r="L92" s="438"/>
      <c r="M92" s="438"/>
      <c r="N92" s="438"/>
      <c r="O92" s="439"/>
      <c r="P92" s="1"/>
      <c r="Q92" s="1"/>
      <c r="R92" s="1"/>
      <c r="S92" s="1"/>
      <c r="T92" s="25"/>
      <c r="U92" s="435" t="s">
        <v>20</v>
      </c>
      <c r="V92" s="435"/>
      <c r="W92" s="435"/>
      <c r="X92" s="1"/>
      <c r="Y92" s="338" t="s">
        <v>6</v>
      </c>
      <c r="Z92" s="338"/>
      <c r="AA92" s="338"/>
      <c r="AB92" s="338" t="s">
        <v>23</v>
      </c>
      <c r="AC92" s="338"/>
      <c r="AD92" s="338"/>
      <c r="AE92" s="26" t="s">
        <v>24</v>
      </c>
    </row>
    <row r="93" spans="2:31" ht="15.75" hidden="1">
      <c r="B93" s="24"/>
      <c r="C93" s="24"/>
      <c r="D93" s="440"/>
      <c r="E93" s="441"/>
      <c r="F93" s="441"/>
      <c r="G93" s="441"/>
      <c r="H93" s="441"/>
      <c r="I93" s="441"/>
      <c r="J93" s="441"/>
      <c r="K93" s="441"/>
      <c r="L93" s="441"/>
      <c r="M93" s="441"/>
      <c r="N93" s="441"/>
      <c r="O93" s="442"/>
      <c r="P93" s="1"/>
      <c r="Q93" s="1"/>
      <c r="R93" s="1"/>
      <c r="S93" s="1"/>
      <c r="T93" s="25"/>
      <c r="U93" s="338"/>
      <c r="V93" s="338"/>
      <c r="W93" s="338"/>
      <c r="X93" s="1"/>
      <c r="Y93" s="338"/>
      <c r="Z93" s="338"/>
      <c r="AA93" s="338"/>
      <c r="AB93" s="338"/>
      <c r="AC93" s="338"/>
      <c r="AD93" s="338"/>
      <c r="AE93" s="26"/>
    </row>
    <row r="94" spans="2:31" ht="15.75" hidden="1" customHeight="1">
      <c r="B94" s="24"/>
      <c r="C94" s="24"/>
      <c r="D94" s="440"/>
      <c r="E94" s="441"/>
      <c r="F94" s="441"/>
      <c r="G94" s="441"/>
      <c r="H94" s="441"/>
      <c r="I94" s="441"/>
      <c r="J94" s="441"/>
      <c r="K94" s="441"/>
      <c r="L94" s="441"/>
      <c r="M94" s="441"/>
      <c r="N94" s="441"/>
      <c r="O94" s="442"/>
      <c r="P94" s="1"/>
      <c r="Q94" s="1"/>
      <c r="R94" s="1"/>
      <c r="S94" s="1"/>
      <c r="T94" s="436" t="s">
        <v>98</v>
      </c>
      <c r="U94" s="435"/>
      <c r="V94" s="435"/>
      <c r="W94" s="435"/>
      <c r="X94" s="1"/>
      <c r="Y94" s="7">
        <f>'Mon Entreprise'!I89</f>
        <v>0</v>
      </c>
      <c r="Z94" s="133"/>
      <c r="AA94" s="21"/>
      <c r="AB94" s="7">
        <f>IF('Mon Entreprise'!I89-'Mon Entreprise'!M89&lt;0,0,'Mon Entreprise'!I89-'Mon Entreprise'!M89)</f>
        <v>0</v>
      </c>
      <c r="AC94" s="13"/>
      <c r="AD94" s="1"/>
      <c r="AE94" s="27">
        <f>IFERROR(1-'Mon Entreprise'!M89/'Mon Entreprise'!I89,0)</f>
        <v>0</v>
      </c>
    </row>
    <row r="95" spans="2:31" ht="15.75" hidden="1">
      <c r="B95" s="24"/>
      <c r="C95" s="24"/>
      <c r="D95" s="440"/>
      <c r="E95" s="441"/>
      <c r="F95" s="441"/>
      <c r="G95" s="441"/>
      <c r="H95" s="441"/>
      <c r="I95" s="441"/>
      <c r="J95" s="441"/>
      <c r="K95" s="441"/>
      <c r="L95" s="441"/>
      <c r="M95" s="441"/>
      <c r="N95" s="441"/>
      <c r="O95" s="442"/>
      <c r="P95" s="1"/>
      <c r="Q95" s="109"/>
      <c r="R95" s="1"/>
      <c r="S95" s="1"/>
      <c r="T95" s="436" t="s">
        <v>25</v>
      </c>
      <c r="U95" s="435"/>
      <c r="V95" s="435"/>
      <c r="W95" s="435"/>
      <c r="X95" s="1"/>
      <c r="Y95" s="7">
        <f>'Mon Entreprise'!I73</f>
        <v>0</v>
      </c>
      <c r="Z95" s="133"/>
      <c r="AA95" s="21"/>
      <c r="AB95" s="7">
        <f>IF('Mon Entreprise'!I73-'Mon Entreprise'!M89&lt;0,0,'Mon Entreprise'!I73-'Mon Entreprise'!M89)</f>
        <v>0</v>
      </c>
      <c r="AC95" s="36"/>
      <c r="AD95" s="1"/>
      <c r="AE95" s="27">
        <f>IFERROR(1-'Mon Entreprise'!M89/'Mon Entreprise'!I73,0)</f>
        <v>0</v>
      </c>
    </row>
    <row r="96" spans="2:31" ht="16.5" hidden="1" thickBot="1">
      <c r="B96" s="24"/>
      <c r="C96" s="24"/>
      <c r="D96" s="443"/>
      <c r="E96" s="444"/>
      <c r="F96" s="444"/>
      <c r="G96" s="444"/>
      <c r="H96" s="444"/>
      <c r="I96" s="444"/>
      <c r="J96" s="444"/>
      <c r="K96" s="444"/>
      <c r="L96" s="444"/>
      <c r="M96" s="444"/>
      <c r="N96" s="444"/>
      <c r="O96" s="445"/>
      <c r="P96" s="1"/>
      <c r="Q96" s="1"/>
      <c r="R96" s="109"/>
      <c r="S96" s="109"/>
      <c r="T96" s="436" t="s">
        <v>22</v>
      </c>
      <c r="U96" s="435"/>
      <c r="V96" s="435"/>
      <c r="W96" s="435"/>
      <c r="X96" s="1"/>
      <c r="Y96" s="18" t="str">
        <f>IF('Mon Entreprise'!I139="","NC",'Mon Entreprise'!I139)</f>
        <v>NC</v>
      </c>
      <c r="Z96" s="134"/>
      <c r="AA96" s="21"/>
      <c r="AB96" s="37" t="str">
        <f>IFERROR(IF('Mon Entreprise'!I139-'Mon Entreprise'!M89&lt;0,0,'Mon Entreprise'!I139-'Mon Entreprise'!M89),"NC")</f>
        <v>NC</v>
      </c>
      <c r="AC96" s="135"/>
      <c r="AD96" s="1"/>
      <c r="AE96" s="28" t="str">
        <f>IFERROR(1-'Mon Entreprise'!M89/'Mon Entreprise'!I139,"NC")</f>
        <v>NC</v>
      </c>
    </row>
    <row r="97" spans="2:32">
      <c r="B97" s="8"/>
      <c r="C97" s="79"/>
      <c r="D97" s="79"/>
      <c r="E97" s="78"/>
      <c r="F97" s="78"/>
      <c r="G97" s="78"/>
      <c r="H97" s="78"/>
      <c r="I97" s="78"/>
      <c r="J97" s="78"/>
      <c r="K97" s="78"/>
      <c r="L97" s="78"/>
      <c r="M97" s="78"/>
      <c r="N97" s="78"/>
      <c r="O97" s="78"/>
      <c r="Q97" s="1"/>
      <c r="R97" s="1"/>
      <c r="S97" s="1"/>
      <c r="T97" s="334"/>
      <c r="U97" s="333"/>
      <c r="V97" s="333"/>
      <c r="W97" s="333"/>
      <c r="X97" s="1"/>
      <c r="Y97" s="18"/>
      <c r="Z97" s="23"/>
      <c r="AA97" s="21"/>
      <c r="AB97" s="37"/>
      <c r="AC97" s="333"/>
      <c r="AD97" s="1"/>
      <c r="AE97" s="28"/>
      <c r="AF97" s="99"/>
    </row>
    <row r="98" spans="2:32">
      <c r="Q98" s="1"/>
      <c r="R98" s="1"/>
      <c r="S98" s="1"/>
      <c r="T98" s="14"/>
      <c r="U98" s="1"/>
      <c r="V98" s="1"/>
      <c r="W98" s="1"/>
      <c r="X98" s="1"/>
      <c r="Y98" s="1"/>
      <c r="Z98" s="1"/>
      <c r="AA98" s="1"/>
      <c r="AB98" s="1"/>
      <c r="AC98" s="1"/>
      <c r="AD98" s="1"/>
      <c r="AE98" s="13"/>
    </row>
    <row r="99" spans="2:32">
      <c r="C99" s="60" t="s">
        <v>62</v>
      </c>
      <c r="D99" s="60"/>
      <c r="E99" s="60"/>
      <c r="F99" s="60"/>
      <c r="G99" s="60"/>
      <c r="H99" s="60"/>
      <c r="I99" s="60"/>
      <c r="J99" s="40"/>
      <c r="K99" s="40"/>
      <c r="L99" s="40"/>
      <c r="M99" s="40"/>
      <c r="N99" s="40"/>
      <c r="O99" s="40"/>
      <c r="R99" s="1"/>
      <c r="S99" s="1"/>
      <c r="T99" s="14"/>
      <c r="U99" s="448" t="s">
        <v>72</v>
      </c>
      <c r="V99" s="448"/>
      <c r="W99" s="448"/>
      <c r="X99" s="448"/>
      <c r="Y99" s="448"/>
      <c r="Z99" s="1"/>
      <c r="AA99" s="14"/>
      <c r="AB99" s="333" t="str">
        <f>IF('Mon Entreprise'!K8&lt;=Annexes!Q24,"Oui","Non")</f>
        <v>Oui</v>
      </c>
      <c r="AC99" s="1"/>
      <c r="AD99" s="1"/>
      <c r="AE99" s="13"/>
    </row>
    <row r="100" spans="2:32">
      <c r="C100" s="60"/>
      <c r="D100" s="60" t="str">
        <f>IFERROR(IF('Mon Entreprise'!K8&gt;=Annexes!O20,IF(AB94&gt;=AB96,"Le CA de référence est celui de Novembre 2019, soit une perte de "&amp;ROUND(AB94,0)&amp;" €"&amp;" ==&gt; "&amp;ROUND(AE94*100,0)&amp;" %","Le CA de référence est celui de la création, soit une perte de "&amp;ROUND(AB96,0)&amp;" €"&amp;" ==&gt; "&amp;ROUND(AE96*100,0)&amp;" %"),IF(AB94&gt;=AB95,"Le CA de référence est celui de Novembre 2019, soit une perte de "&amp;ROUND(AB94,0)&amp;" €"&amp;" ==&gt; "&amp;ROUND(AE94*100,0)&amp;" %","Le CA de référence est celui de l'exercice 2019, soit une perte de "&amp;ROUND(AB95,0)&amp;" €"&amp;" ==&gt; "&amp;ROUND(AE95*100,0)&amp;" %")),"")</f>
        <v>Le CA de référence est celui de Novembre 2019, soit une perte de 0 € ==&gt; 0 %</v>
      </c>
      <c r="E100" s="60"/>
      <c r="F100" s="60"/>
      <c r="G100" s="60"/>
      <c r="H100" s="60"/>
      <c r="I100" s="60"/>
      <c r="J100" s="40"/>
      <c r="K100" s="40"/>
      <c r="L100" s="40"/>
      <c r="M100" s="40"/>
      <c r="N100" s="40"/>
      <c r="O100" s="40"/>
      <c r="T100" s="14"/>
      <c r="U100" s="448" t="s">
        <v>84</v>
      </c>
      <c r="V100" s="448"/>
      <c r="W100" s="448"/>
      <c r="X100" s="448"/>
      <c r="Y100" s="448"/>
      <c r="Z100" s="1"/>
      <c r="AA100" s="14"/>
      <c r="AB100" s="333">
        <f>IF('Mon Entreprise'!K8&gt;=Annexes!O20,IF(AB94&gt;=AB96,AB94,AB96),IF(AB94&gt;=AB95,AB94,AB95))</f>
        <v>0</v>
      </c>
      <c r="AC100" s="1"/>
      <c r="AD100" s="1"/>
      <c r="AE100" s="13"/>
    </row>
    <row r="101" spans="2:32" ht="15" customHeight="1" thickBot="1">
      <c r="T101" s="14"/>
      <c r="U101" s="448" t="s">
        <v>85</v>
      </c>
      <c r="V101" s="448"/>
      <c r="W101" s="448"/>
      <c r="X101" s="448"/>
      <c r="Y101" s="448"/>
      <c r="Z101" s="1"/>
      <c r="AA101" s="14"/>
      <c r="AB101" s="19">
        <f>IF('Mon Entreprise'!K8&gt;=Annexes!O20,IF(AB94&gt;=AB96,AE94,AE96),IF(AB94&gt;=AB95,AE94,AE95))</f>
        <v>0</v>
      </c>
      <c r="AC101" s="1"/>
      <c r="AD101" s="1"/>
      <c r="AE101" s="13"/>
    </row>
    <row r="102" spans="2:32" ht="15" customHeight="1">
      <c r="D102" s="450" t="str">
        <f>IFERROR(IF(AB99="Non","Vous avez débuté votre activité après le 30 Septembre 2020, vous ne pouvez donc pas bénéficier de cette aide",IF(AB101&gt;=0.5,IF(AB100&gt;Annexes!O5,"Dans votre cas, l'aide est Plafonnée, à "&amp;Annexes!O5&amp;" € pour le mois de novembre","Vous pouvez bénéficier, au titre de cette aide, d'un montant de "&amp;ROUND(AB100,0)&amp;" € pour le mois de novembre"),"L'entreprise n'a pas une perte d'au moins 50 % en novembre 2020")),"Vous n'avez pas indiqué de chiffre d'affaires de référence")</f>
        <v>L'entreprise n'a pas une perte d'au moins 50 % en novembre 2020</v>
      </c>
      <c r="E102" s="451"/>
      <c r="F102" s="451"/>
      <c r="G102" s="451"/>
      <c r="H102" s="451"/>
      <c r="I102" s="451"/>
      <c r="J102" s="451"/>
      <c r="K102" s="451"/>
      <c r="L102" s="451"/>
      <c r="M102" s="451"/>
      <c r="N102" s="451"/>
      <c r="O102" s="452"/>
      <c r="T102" s="14"/>
      <c r="U102" s="330"/>
      <c r="V102" s="330"/>
      <c r="W102" s="330"/>
      <c r="X102" s="330"/>
      <c r="Y102" s="330"/>
      <c r="Z102" s="1"/>
      <c r="AA102" s="1"/>
      <c r="AB102" s="19"/>
      <c r="AC102" s="1"/>
      <c r="AD102" s="1"/>
      <c r="AE102" s="13"/>
    </row>
    <row r="103" spans="2:32" ht="15" customHeight="1">
      <c r="D103" s="453"/>
      <c r="E103" s="454"/>
      <c r="F103" s="454"/>
      <c r="G103" s="454"/>
      <c r="H103" s="454"/>
      <c r="I103" s="454"/>
      <c r="J103" s="454"/>
      <c r="K103" s="454"/>
      <c r="L103" s="454"/>
      <c r="M103" s="454"/>
      <c r="N103" s="454"/>
      <c r="O103" s="455"/>
      <c r="T103" s="14"/>
      <c r="U103" s="330"/>
      <c r="V103" s="330"/>
      <c r="W103" s="330"/>
      <c r="X103" s="330"/>
      <c r="Y103" s="330"/>
      <c r="Z103" s="1"/>
      <c r="AA103" s="1"/>
      <c r="AB103" s="19"/>
      <c r="AC103" s="1"/>
      <c r="AD103" s="1"/>
      <c r="AE103" s="13"/>
    </row>
    <row r="104" spans="2:32" ht="15" customHeight="1">
      <c r="D104" s="453"/>
      <c r="E104" s="454"/>
      <c r="F104" s="454"/>
      <c r="G104" s="454"/>
      <c r="H104" s="454"/>
      <c r="I104" s="454"/>
      <c r="J104" s="454"/>
      <c r="K104" s="454"/>
      <c r="L104" s="454"/>
      <c r="M104" s="454"/>
      <c r="N104" s="454"/>
      <c r="O104" s="455"/>
      <c r="T104" s="14"/>
      <c r="U104" s="435"/>
      <c r="V104" s="435"/>
      <c r="W104" s="435"/>
      <c r="X104" s="435"/>
      <c r="Y104" s="435"/>
      <c r="Z104" s="1"/>
      <c r="AA104" s="1"/>
      <c r="AB104" s="333"/>
      <c r="AC104" s="1"/>
      <c r="AD104" s="1"/>
      <c r="AE104" s="13"/>
    </row>
    <row r="105" spans="2:32" ht="15" customHeight="1" thickBot="1">
      <c r="D105" s="456"/>
      <c r="E105" s="457"/>
      <c r="F105" s="457"/>
      <c r="G105" s="457"/>
      <c r="H105" s="457"/>
      <c r="I105" s="457"/>
      <c r="J105" s="457"/>
      <c r="K105" s="457"/>
      <c r="L105" s="457"/>
      <c r="M105" s="457"/>
      <c r="N105" s="457"/>
      <c r="O105" s="458"/>
      <c r="T105" s="14"/>
      <c r="U105" s="1"/>
      <c r="V105" s="1"/>
      <c r="W105" s="1"/>
      <c r="X105" s="1"/>
      <c r="Y105" s="1"/>
      <c r="Z105" s="1"/>
      <c r="AA105" s="1"/>
      <c r="AB105" s="333"/>
      <c r="AC105" s="1"/>
      <c r="AD105" s="1"/>
      <c r="AE105" s="13"/>
    </row>
    <row r="106" spans="2:32" ht="15" customHeight="1">
      <c r="C106" s="78"/>
      <c r="D106" s="78"/>
      <c r="E106" s="78"/>
      <c r="F106" s="78"/>
      <c r="G106" s="78"/>
      <c r="H106" s="78"/>
      <c r="I106" s="78"/>
      <c r="J106" s="78"/>
      <c r="K106" s="78"/>
      <c r="L106" s="78"/>
      <c r="M106" s="78"/>
      <c r="N106" s="78"/>
      <c r="O106" s="78"/>
      <c r="T106" s="499" t="s">
        <v>4</v>
      </c>
      <c r="U106" s="464"/>
      <c r="V106" s="464"/>
      <c r="W106" s="464"/>
      <c r="X106" s="464"/>
      <c r="Y106" s="464"/>
      <c r="Z106" s="1"/>
      <c r="AA106" s="14"/>
      <c r="AB106" s="132">
        <f>IFERROR(IF('Mon Entreprise'!K8&lt;Annexes!O17,IF(IFERROR(1-'Mon Entreprise'!M93/'Mon Entreprise'!I93,0)&gt;=IFERROR(1-'Mon Entreprise'!M93/('Mon Entreprise'!I73*2),0),1-'Mon Entreprise'!M93/'Mon Entreprise'!I93,1-'Mon Entreprise'!M93/('Mon Entreprise'!I73*2)),1-'Mon Entreprise'!M93/'Mon Entreprise'!I153),0)</f>
        <v>0</v>
      </c>
      <c r="AC106" s="1"/>
      <c r="AD106" s="1"/>
      <c r="AE106" s="13"/>
    </row>
    <row r="107" spans="2:32" ht="15.75" customHeight="1">
      <c r="T107" s="14"/>
      <c r="U107" s="464" t="s">
        <v>8</v>
      </c>
      <c r="V107" s="464"/>
      <c r="W107" s="464"/>
      <c r="X107" s="464"/>
      <c r="Y107" s="464"/>
      <c r="Z107" s="1"/>
      <c r="AA107" s="14"/>
      <c r="AB107" s="19" t="str">
        <f>IF((AND(Annexes!F5&gt;1,Annexes!F5&lt;=Annexes!H6)),"OUI","NON")</f>
        <v>NON</v>
      </c>
      <c r="AC107" s="1"/>
      <c r="AD107" s="1"/>
      <c r="AE107" s="13"/>
    </row>
    <row r="108" spans="2:32" ht="15" customHeight="1">
      <c r="C108" s="485" t="s">
        <v>101</v>
      </c>
      <c r="D108" s="485"/>
      <c r="E108" s="485"/>
      <c r="F108" s="485"/>
      <c r="G108" s="485"/>
      <c r="H108" s="485"/>
      <c r="I108" s="485"/>
      <c r="J108" s="485"/>
      <c r="K108" s="485"/>
      <c r="L108" s="485"/>
      <c r="M108" s="485"/>
      <c r="N108" s="485"/>
      <c r="O108" s="485"/>
      <c r="P108" s="40"/>
      <c r="T108" s="14"/>
      <c r="U108" s="435" t="s">
        <v>9</v>
      </c>
      <c r="V108" s="435"/>
      <c r="W108" s="435"/>
      <c r="X108" s="435"/>
      <c r="Y108" s="435"/>
      <c r="Z108" s="1"/>
      <c r="AA108" s="14"/>
      <c r="AB108" s="19" t="str">
        <f>IF((AND(Annexes!F7&gt;1,Annexes!F7&lt;=Annexes!H8)),"OUI","NON")</f>
        <v>NON</v>
      </c>
      <c r="AC108" s="1"/>
      <c r="AD108" s="1"/>
      <c r="AE108" s="13"/>
    </row>
    <row r="109" spans="2:32" ht="15" customHeight="1">
      <c r="C109" s="485"/>
      <c r="D109" s="485"/>
      <c r="E109" s="485"/>
      <c r="F109" s="485"/>
      <c r="G109" s="485"/>
      <c r="H109" s="485"/>
      <c r="I109" s="485"/>
      <c r="J109" s="485"/>
      <c r="K109" s="485"/>
      <c r="L109" s="485"/>
      <c r="M109" s="485"/>
      <c r="N109" s="485"/>
      <c r="O109" s="485"/>
      <c r="P109" s="40"/>
      <c r="Q109" s="40"/>
      <c r="T109" s="14"/>
      <c r="U109" s="435" t="s">
        <v>12</v>
      </c>
      <c r="V109" s="435"/>
      <c r="W109" s="435"/>
      <c r="X109" s="435"/>
      <c r="Y109" s="435"/>
      <c r="Z109" s="1"/>
      <c r="AA109" s="14"/>
      <c r="AB109" s="19" t="b">
        <f>Annexes!M11</f>
        <v>0</v>
      </c>
      <c r="AC109" s="1"/>
      <c r="AD109" s="1"/>
      <c r="AE109" s="13"/>
    </row>
    <row r="110" spans="2:32" ht="15.75" customHeight="1">
      <c r="C110" s="60"/>
      <c r="E110" s="485" t="str">
        <f>IF('Mon Entreprise'!K8&gt;Annexes!Q24,"",IF(OR(AB107="OUI",AND(AB108="OUI",AB106&gt;=Annexes!P5),AB109=TRUE),"",IF(AND(AB108="OUI",AB106&lt;Annexes!P5),"L'entreprise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f>
        <v>L'entreprise ne fait pas partie des entreprises ayant une fermeture administrative et ne fait pas partie des activités mentionnées aux annexes 1 et 2 du décret</v>
      </c>
      <c r="F110" s="485"/>
      <c r="G110" s="485"/>
      <c r="H110" s="485"/>
      <c r="I110" s="485"/>
      <c r="J110" s="485"/>
      <c r="K110" s="485"/>
      <c r="L110" s="485"/>
      <c r="M110" s="485"/>
      <c r="N110" s="485"/>
      <c r="O110" s="485"/>
      <c r="P110" s="40"/>
      <c r="Q110" s="40"/>
      <c r="T110" s="14"/>
      <c r="U110" s="448" t="s">
        <v>72</v>
      </c>
      <c r="V110" s="448"/>
      <c r="W110" s="448"/>
      <c r="X110" s="448"/>
      <c r="Y110" s="448"/>
      <c r="Z110" s="1"/>
      <c r="AA110" s="14"/>
      <c r="AB110" s="333" t="str">
        <f>IF('Mon Entreprise'!K8&lt;=Annexes!Q24,"Oui","Non")</f>
        <v>Oui</v>
      </c>
      <c r="AC110" s="1"/>
      <c r="AD110" s="1"/>
      <c r="AE110" s="13"/>
    </row>
    <row r="111" spans="2:32" ht="15" customHeight="1">
      <c r="C111" s="60"/>
      <c r="D111" s="131"/>
      <c r="E111" s="485"/>
      <c r="F111" s="485"/>
      <c r="G111" s="485"/>
      <c r="H111" s="485"/>
      <c r="I111" s="485"/>
      <c r="J111" s="485"/>
      <c r="K111" s="485"/>
      <c r="L111" s="485"/>
      <c r="M111" s="485"/>
      <c r="N111" s="485"/>
      <c r="O111" s="485"/>
      <c r="P111" s="40"/>
      <c r="Q111" s="40"/>
      <c r="T111" s="14"/>
      <c r="U111" s="448" t="s">
        <v>84</v>
      </c>
      <c r="V111" s="448"/>
      <c r="W111" s="448"/>
      <c r="X111" s="448"/>
      <c r="Y111" s="448"/>
      <c r="Z111" s="1"/>
      <c r="AA111" s="14"/>
      <c r="AB111" s="333">
        <f>IF('Mon Entreprise'!K8&gt;=Annexes!O20,IF(AB94&gt;=AB96,AB94,AB96),IF(AB94&gt;=AB95,AB94,AB95))</f>
        <v>0</v>
      </c>
      <c r="AC111" s="1"/>
      <c r="AD111" s="1"/>
      <c r="AE111" s="13"/>
    </row>
    <row r="112" spans="2:32" ht="15" customHeight="1">
      <c r="C112" s="60"/>
      <c r="D112" s="60" t="str">
        <f>IFERROR(IF('Mon Entreprise'!K8&gt;=Annexes!O20,IF(AB94&gt;=AB96,"- Le CA de référence est celui de Novembre 2019, soit une perte de "&amp;ROUND(AB94,0)&amp;" €"&amp;" ==&gt; "&amp;ROUND(AE94*100,0)&amp;" %","- Le CA de référence est celui de la création, soit une perte de "&amp;ROUND(AB96,0)&amp;" €"&amp;" ==&gt; "&amp;ROUND(AE96*100,0)&amp;" %"),IF(AB94&gt;=AB95,"- Le CA de référence est celui de Novembre 2019, soit une perte de "&amp;ROUND(AB94,0)&amp;" €"&amp;" ==&gt; "&amp;ROUND(AE94*100,0)&amp;" %","- Le CA de référence est celui de l'exercice 2019, soit une perte de "&amp;ROUND(AB95,0)&amp;" €"&amp;" ==&gt; "&amp;ROUND(AE95*100,0)&amp;" %")),"")</f>
        <v>- Le CA de référence est celui de Novembre 2019, soit une perte de 0 € ==&gt; 0 %</v>
      </c>
      <c r="E112" s="60"/>
      <c r="F112" s="60"/>
      <c r="G112" s="60"/>
      <c r="H112" s="60"/>
      <c r="I112" s="60"/>
      <c r="J112" s="60"/>
      <c r="K112" s="60"/>
      <c r="L112" s="60"/>
      <c r="M112" s="60"/>
      <c r="N112" s="60"/>
      <c r="O112" s="60"/>
      <c r="P112" s="40"/>
      <c r="Q112" s="40"/>
      <c r="R112" s="40"/>
      <c r="T112" s="14"/>
      <c r="U112" s="448" t="s">
        <v>85</v>
      </c>
      <c r="V112" s="448"/>
      <c r="W112" s="448"/>
      <c r="X112" s="448"/>
      <c r="Y112" s="448"/>
      <c r="Z112" s="1"/>
      <c r="AA112" s="14"/>
      <c r="AB112" s="19">
        <f>IF('Mon Entreprise'!K8&gt;=Annexes!O20,IF(AB94&gt;=AB96,AE94,AE96),IF(AB94&gt;=AB95,AE94,AE95))</f>
        <v>0</v>
      </c>
      <c r="AC112" s="1"/>
      <c r="AD112" s="1"/>
      <c r="AE112" s="13"/>
    </row>
    <row r="113" spans="2:31" ht="15" customHeight="1">
      <c r="C113" s="40"/>
      <c r="D113" s="60" t="str">
        <f>IF(OR(AB107="OUI",AB109=TRUE),"- Sans ticket modérateur",IF(AND(AB108="OUI",AB106&gt;=0.8),"- La Perte de référence est plafonnée à 80 %, soit "&amp;ROUND(AB115,0)&amp;" €","- Sans ticket modérateur"))</f>
        <v>- Sans ticket modérateur</v>
      </c>
      <c r="E113" s="40"/>
      <c r="F113" s="40"/>
      <c r="G113" s="40"/>
      <c r="H113" s="40"/>
      <c r="I113" s="40"/>
      <c r="J113" s="40"/>
      <c r="K113" s="40"/>
      <c r="M113" s="40"/>
      <c r="N113" s="40"/>
      <c r="O113" s="40"/>
      <c r="P113" s="40"/>
      <c r="Q113" s="40"/>
      <c r="R113" s="40"/>
      <c r="T113" s="14"/>
      <c r="U113" s="435" t="s">
        <v>74</v>
      </c>
      <c r="V113" s="435"/>
      <c r="W113" s="435"/>
      <c r="X113" s="435"/>
      <c r="Y113" s="435"/>
      <c r="Z113" s="1"/>
      <c r="AA113" s="14"/>
      <c r="AB113" s="55">
        <f>IF(OR(AB107="OUI",AB109=TRUE),1,IF(AND(AB108="OUI",AB106&gt;=0.8),0.8,1))</f>
        <v>1</v>
      </c>
      <c r="AC113" s="1"/>
      <c r="AD113" s="1"/>
      <c r="AE113" s="13"/>
    </row>
    <row r="114" spans="2:31" ht="15" customHeight="1" thickBot="1">
      <c r="Q114" s="40"/>
      <c r="R114" s="40"/>
      <c r="T114" s="14"/>
      <c r="U114" s="435" t="s">
        <v>80</v>
      </c>
      <c r="V114" s="435"/>
      <c r="W114" s="435"/>
      <c r="X114" s="435"/>
      <c r="Y114" s="435"/>
      <c r="Z114" s="1"/>
      <c r="AA114" s="14"/>
      <c r="AB114" s="332">
        <f>IF('Mon Entreprise'!K8&gt;=Annexes!O20,IF(AB94&gt;=AB96,Y94,Y96),IF(AB94&gt;=AB95,Y94,Y95))</f>
        <v>0</v>
      </c>
      <c r="AC114" s="1"/>
      <c r="AD114" s="1"/>
      <c r="AE114" s="13"/>
    </row>
    <row r="115" spans="2:31" ht="15" customHeight="1">
      <c r="D115" s="450" t="str">
        <f>IFERROR(IF('Mon Entreprise'!K8&gt;Annexes!Q24,"Vous avez débuté votre activité après le 30 Septembre 2020, vous ne pouvez donc pas bénéficier de cette aide",IF(AB109=TRUE,IF(AB115&gt;Annexes!O6,"Dans votre cas, l'aide est Plafonnée, à "&amp;Annexes!O6&amp;" € pour le mois de Novembre","Vous pouvez bénéficier, au titre de cette aide, d'un montant de "&amp;ROUND(AB115,0)&amp;" € pour le mois de novembre"),IF(AB112&gt;=0.5,IF(OR(AB107="OUI",AND(AB108="OUI",AB106&gt;=Annexes!P5)),IF(AB115&gt;Annexes!O6,"Dans votre cas, l'aide est Plafonnée, à "&amp;Annexes!O6&amp;" € pour le mois de Novembre","Vous pouvez bénéficier, au titre de cette aide, d'un montant de "&amp;ROUND(AB115,0)&amp;" € pour le mois de novembre"),IF(AND(AB108="OUI",AB106&lt;Annexes!P5),"L'entreprise fait partie des entreprises mentionnées en annexe 2 du décret, mais n'a pas eu une perte de CA d'au-Moins 80 % entre le 15/03/2020 et le 15/05/2020","L'entreprise ne fait pas partie des entreprises ayant une fermeture administrative et ne fait pas partie des activités mentionnées aux annexes 1 et 2 du décret")),"L'entreprise n'a pas une perte d'au moins 50 % en novembre 2020"))),"Vous n'avez pas indiqué de chiffre d'affaires de référence")</f>
        <v>L'entreprise n'a pas une perte d'au moins 50 % en novembre 2020</v>
      </c>
      <c r="E115" s="451"/>
      <c r="F115" s="451"/>
      <c r="G115" s="451"/>
      <c r="H115" s="451"/>
      <c r="I115" s="451"/>
      <c r="J115" s="451"/>
      <c r="K115" s="451"/>
      <c r="L115" s="451"/>
      <c r="M115" s="451"/>
      <c r="N115" s="451"/>
      <c r="O115" s="452"/>
      <c r="Q115" s="40"/>
      <c r="R115" s="40"/>
      <c r="T115" s="14"/>
      <c r="U115" s="435" t="s">
        <v>104</v>
      </c>
      <c r="V115" s="435"/>
      <c r="W115" s="435"/>
      <c r="X115" s="435"/>
      <c r="Y115" s="435"/>
      <c r="Z115" s="1"/>
      <c r="AA115" s="14"/>
      <c r="AB115" s="333">
        <f>IF(AB113=1,AB111,IF(AB111*AB113&gt;1500,IF(AB111&gt;1500,AB111*AB113,"Impossible"),IF(AB111&lt;1500,AB111,1500)))</f>
        <v>0</v>
      </c>
      <c r="AC115" s="1"/>
      <c r="AD115" s="1"/>
      <c r="AE115" s="13"/>
    </row>
    <row r="116" spans="2:31" ht="15" customHeight="1">
      <c r="D116" s="453"/>
      <c r="E116" s="454"/>
      <c r="F116" s="454"/>
      <c r="G116" s="454"/>
      <c r="H116" s="454"/>
      <c r="I116" s="454"/>
      <c r="J116" s="454"/>
      <c r="K116" s="454"/>
      <c r="L116" s="454"/>
      <c r="M116" s="454"/>
      <c r="N116" s="454"/>
      <c r="O116" s="455"/>
      <c r="Q116" s="40"/>
      <c r="R116" s="40"/>
      <c r="T116" s="14"/>
      <c r="U116" s="333"/>
      <c r="V116" s="333"/>
      <c r="W116" s="333"/>
      <c r="X116" s="333"/>
      <c r="Y116" s="333"/>
      <c r="Z116" s="1"/>
      <c r="AA116" s="1"/>
      <c r="AB116" s="333"/>
      <c r="AC116" s="1"/>
      <c r="AD116" s="1"/>
      <c r="AE116" s="13"/>
    </row>
    <row r="117" spans="2:31" ht="15" customHeight="1">
      <c r="D117" s="453"/>
      <c r="E117" s="454"/>
      <c r="F117" s="454"/>
      <c r="G117" s="454"/>
      <c r="H117" s="454"/>
      <c r="I117" s="454"/>
      <c r="J117" s="454"/>
      <c r="K117" s="454"/>
      <c r="L117" s="454"/>
      <c r="M117" s="454"/>
      <c r="N117" s="454"/>
      <c r="O117" s="455"/>
      <c r="Q117" s="40"/>
      <c r="R117" s="40"/>
      <c r="T117" s="14"/>
      <c r="U117" s="435" t="s">
        <v>82</v>
      </c>
      <c r="V117" s="435"/>
      <c r="W117" s="435"/>
      <c r="X117" s="435"/>
      <c r="Y117" s="435"/>
      <c r="Z117" s="1"/>
      <c r="AA117" s="14"/>
      <c r="AB117" s="333">
        <f>IF(AB99="Non",0,IF(AB101&gt;=0.5,IF(AB100&gt;Annexes!O5,Annexes!O5,ROUND(AB100,0)),0))</f>
        <v>0</v>
      </c>
      <c r="AC117" s="1"/>
      <c r="AD117" s="1"/>
      <c r="AE117" s="13"/>
    </row>
    <row r="118" spans="2:31" ht="15" customHeight="1" thickBot="1">
      <c r="D118" s="456"/>
      <c r="E118" s="457"/>
      <c r="F118" s="457"/>
      <c r="G118" s="457"/>
      <c r="H118" s="457"/>
      <c r="I118" s="457"/>
      <c r="J118" s="457"/>
      <c r="K118" s="457"/>
      <c r="L118" s="457"/>
      <c r="M118" s="457"/>
      <c r="N118" s="457"/>
      <c r="O118" s="458"/>
      <c r="R118" s="40"/>
      <c r="T118" s="14"/>
      <c r="U118" s="435" t="s">
        <v>81</v>
      </c>
      <c r="V118" s="435"/>
      <c r="W118" s="435"/>
      <c r="X118" s="435"/>
      <c r="Y118" s="435"/>
      <c r="Z118" s="1"/>
      <c r="AA118" s="14"/>
      <c r="AB118" s="333">
        <f>IFERROR(IF('Mon Entreprise'!K8&gt;Annexes!Q24,0,IF(AB109=TRUE,IF(AB115&gt;Annexes!O6,Annexes!O6,ROUND(AB115,0)),IF(AB112&gt;=0.5,IF(OR(AB107="OUI",AND(AB108="OUI",AB106&gt;=Annexes!P5),AB109=TRUE),IF(AB115&gt;Annexes!O6,Annexes!O6,ROUND(AB115,0)),IF(AND(AB108="OUI",AB106&lt;Annexes!P5),0,0)),0))),0)</f>
        <v>0</v>
      </c>
      <c r="AC118" s="1"/>
      <c r="AD118" s="1"/>
      <c r="AE118" s="13"/>
    </row>
    <row r="119" spans="2:31" ht="15" customHeight="1">
      <c r="D119" s="470" t="str">
        <f>IF(AND(Annexes!F7&gt;=89,Annexes!F7&lt;=92),"Les entreprises dont l'activité principale est mentionné au 86 à 89 de l'annexe 2 (S1 bis) peut bénéficier de cette aide rétro-activement, au titre de l'Art 3-20 du décret 2021-129."&amp;"  Le cas échéant, l’aide perçue au titre de l’Art. 3-14, si elle a déjà été demandée, vient en diminution de la présente aide complémentaire.",IF(Annexes!F7=109,"Les entreprises dont l'activité principale est mentionné au 106 de l'annexe 2 (S1 bis) peut bénéficier de cette aide rétro-activement, au titre de l'Art 3-21 du décret 2021-192."&amp;"  Le cas échéant, l’aide perçue au titre de l’Art. 3-14, si elle a déjà été demandée, vient en diminution de la présente aide complémentaire.",""))</f>
        <v/>
      </c>
      <c r="E119" s="470"/>
      <c r="F119" s="470"/>
      <c r="G119" s="470"/>
      <c r="H119" s="470"/>
      <c r="I119" s="470"/>
      <c r="J119" s="470"/>
      <c r="K119" s="470"/>
      <c r="L119" s="470"/>
      <c r="M119" s="470"/>
      <c r="N119" s="470"/>
      <c r="O119" s="470"/>
      <c r="R119" s="40"/>
      <c r="T119" s="14"/>
      <c r="U119" s="333"/>
      <c r="V119" s="333"/>
      <c r="W119" s="333"/>
      <c r="X119" s="333"/>
      <c r="Y119" s="333"/>
      <c r="Z119" s="1"/>
      <c r="AA119" s="1"/>
      <c r="AB119" s="333"/>
      <c r="AC119" s="1"/>
      <c r="AD119" s="1"/>
      <c r="AE119" s="13"/>
    </row>
    <row r="120" spans="2:31" ht="15" customHeight="1">
      <c r="D120" s="471"/>
      <c r="E120" s="471"/>
      <c r="F120" s="471"/>
      <c r="G120" s="471"/>
      <c r="H120" s="471"/>
      <c r="I120" s="471"/>
      <c r="J120" s="471"/>
      <c r="K120" s="471"/>
      <c r="L120" s="471"/>
      <c r="M120" s="471"/>
      <c r="N120" s="471"/>
      <c r="O120" s="471"/>
      <c r="R120" s="40"/>
      <c r="T120" s="14"/>
      <c r="U120" s="333"/>
      <c r="V120" s="333"/>
      <c r="W120" s="333"/>
      <c r="X120" s="333"/>
      <c r="Y120" s="333"/>
      <c r="Z120" s="1"/>
      <c r="AA120" s="1"/>
      <c r="AB120" s="333"/>
      <c r="AC120" s="1"/>
      <c r="AD120" s="1"/>
      <c r="AE120" s="13"/>
    </row>
    <row r="121" spans="2:31">
      <c r="R121" s="40"/>
      <c r="T121" s="15"/>
      <c r="U121" s="10"/>
      <c r="V121" s="10"/>
      <c r="W121" s="10"/>
      <c r="X121" s="10"/>
      <c r="Y121" s="10"/>
      <c r="Z121" s="10"/>
      <c r="AA121" s="10"/>
      <c r="AB121" s="10"/>
      <c r="AC121" s="10"/>
      <c r="AD121" s="10"/>
      <c r="AE121" s="4"/>
    </row>
    <row r="122" spans="2:31" ht="15" customHeight="1" thickBot="1">
      <c r="B122" s="221"/>
      <c r="C122" s="433" t="s">
        <v>95</v>
      </c>
      <c r="D122" s="433"/>
      <c r="E122" s="433"/>
      <c r="F122" s="433"/>
      <c r="G122" s="433"/>
      <c r="H122" s="433"/>
      <c r="I122" s="222"/>
      <c r="J122" s="222"/>
      <c r="K122" s="222"/>
      <c r="L122" s="222"/>
      <c r="M122" s="222"/>
      <c r="N122" s="222"/>
      <c r="O122" s="222"/>
      <c r="T122" s="16"/>
      <c r="U122" s="11"/>
      <c r="V122" s="11"/>
      <c r="W122" s="11"/>
      <c r="X122" s="11"/>
      <c r="Y122" s="11"/>
      <c r="Z122" s="11"/>
      <c r="AA122" s="11"/>
      <c r="AB122" s="11"/>
      <c r="AC122" s="11"/>
      <c r="AD122" s="11"/>
      <c r="AE122" s="12"/>
    </row>
    <row r="123" spans="2:31" ht="15" customHeight="1">
      <c r="B123" s="63"/>
      <c r="C123" s="24"/>
      <c r="D123" s="24"/>
      <c r="E123" s="24"/>
      <c r="F123" s="24"/>
      <c r="G123" s="24"/>
      <c r="H123" s="24"/>
      <c r="I123" s="1"/>
      <c r="J123" s="1"/>
      <c r="K123" s="1"/>
      <c r="L123" s="1"/>
      <c r="M123" s="1"/>
      <c r="N123" s="1"/>
      <c r="O123" s="1"/>
      <c r="T123" s="14"/>
      <c r="U123" s="1"/>
      <c r="V123" s="1"/>
      <c r="W123" s="1"/>
      <c r="X123" s="1"/>
      <c r="Y123" s="1"/>
      <c r="Z123" s="1"/>
      <c r="AA123" s="1"/>
      <c r="AB123" s="1"/>
      <c r="AC123" s="1"/>
      <c r="AD123" s="1"/>
      <c r="AE123" s="13"/>
    </row>
    <row r="124" spans="2:31" ht="15" customHeight="1">
      <c r="B124" s="103"/>
      <c r="C124" s="434" t="s">
        <v>115</v>
      </c>
      <c r="D124" s="434"/>
      <c r="E124" s="434"/>
      <c r="F124" s="434"/>
      <c r="G124" s="434"/>
      <c r="H124" s="434"/>
      <c r="I124" s="434"/>
      <c r="J124" s="434"/>
      <c r="K124" s="434"/>
      <c r="L124" s="434"/>
      <c r="M124" s="434"/>
      <c r="N124" s="434"/>
      <c r="O124" s="434"/>
      <c r="P124" s="1"/>
      <c r="T124" s="25"/>
      <c r="U124" s="435" t="s">
        <v>20</v>
      </c>
      <c r="V124" s="435"/>
      <c r="W124" s="435"/>
      <c r="X124" s="1"/>
      <c r="Y124" s="338" t="s">
        <v>6</v>
      </c>
      <c r="Z124" s="338"/>
      <c r="AA124" s="338"/>
      <c r="AB124" s="338" t="s">
        <v>23</v>
      </c>
      <c r="AC124" s="338"/>
      <c r="AD124" s="338"/>
      <c r="AE124" s="26" t="s">
        <v>24</v>
      </c>
    </row>
    <row r="125" spans="2:31" ht="15.75" customHeight="1">
      <c r="B125" s="103"/>
      <c r="C125" s="335"/>
      <c r="D125" s="60" t="s">
        <v>26</v>
      </c>
      <c r="E125" s="335"/>
      <c r="F125" s="335"/>
      <c r="G125" s="335"/>
      <c r="H125" s="335"/>
      <c r="I125" s="335"/>
      <c r="J125" s="335"/>
      <c r="K125" s="335"/>
      <c r="L125" s="335"/>
      <c r="M125" s="335"/>
      <c r="N125" s="335"/>
      <c r="O125" s="335"/>
      <c r="P125" s="1"/>
      <c r="T125" s="25"/>
      <c r="U125" s="338"/>
      <c r="V125" s="338"/>
      <c r="W125" s="338"/>
      <c r="X125" s="1"/>
      <c r="Y125" s="338"/>
      <c r="Z125" s="338"/>
      <c r="AA125" s="338"/>
      <c r="AB125" s="338"/>
      <c r="AC125" s="338"/>
      <c r="AD125" s="338"/>
      <c r="AE125" s="26"/>
    </row>
    <row r="126" spans="2:31" ht="16.5" hidden="1" thickBot="1">
      <c r="B126" s="103"/>
      <c r="C126" s="335"/>
      <c r="D126" s="60"/>
      <c r="E126" s="335"/>
      <c r="F126" s="335"/>
      <c r="G126" s="335"/>
      <c r="H126" s="335"/>
      <c r="I126" s="335"/>
      <c r="J126" s="335"/>
      <c r="K126" s="335"/>
      <c r="L126" s="335"/>
      <c r="M126" s="335"/>
      <c r="N126" s="335"/>
      <c r="O126" s="335"/>
      <c r="P126" s="1"/>
      <c r="T126" s="436" t="s">
        <v>99</v>
      </c>
      <c r="U126" s="435"/>
      <c r="V126" s="435"/>
      <c r="W126" s="435"/>
      <c r="X126" s="1"/>
      <c r="Y126" s="7">
        <f>'Mon Entreprise'!I91</f>
        <v>0</v>
      </c>
      <c r="Z126" s="133"/>
      <c r="AA126" s="21"/>
      <c r="AB126" s="7">
        <f>IF('Mon Entreprise'!I91-'Mon Entreprise'!M91&lt;0,0,'Mon Entreprise'!I91-'Mon Entreprise'!M91)</f>
        <v>0</v>
      </c>
      <c r="AC126" s="13"/>
      <c r="AD126" s="1"/>
      <c r="AE126" s="27">
        <f>IFERROR(1-'Mon Entreprise'!M91/'Mon Entreprise'!I91,0)</f>
        <v>0</v>
      </c>
    </row>
    <row r="127" spans="2:31" ht="15.75" hidden="1">
      <c r="B127" s="103"/>
      <c r="C127" s="335"/>
      <c r="D127" s="437" t="str">
        <f>IFERROR(IF(AND(AB160=0,AB161=0,AB162=0),"Vous ne pouvez pas bénéficier du fonds de solidarité pour le mois de Décembre 2020",IF(AND(AB162&gt;AB161,AB162&gt;AB160),"Votre entreprise peut bénéficier d'une aide de "&amp;AB162&amp;" €, au titre d'une fermeture Administrative, ou d'une perte d'au moins 50 % ou 70 % du CA pour les activités mentionnées en annexe 1, ou d'une perte d'au moins 70 % du CA pour les activités mentionnées en annexe 2 ou 3",IF(AB161&gt;AB160,"Votre entreprise peut bénéficier d'une aide de "&amp;AB161&amp;" €, au titre d'une fermeture Administrative, ou d'une perte d'au moins 50 % du CA pour les activités mentionnées en annexe 1, ou en annexe 2 ou 3 ayant une perte de CA d'au moins 80 % entre le 15/03/2020 et le 15/05/2020 ou au moins de Novembre 2020","Votre entreprise peut bénéficier d'une aide de "&amp;AB160&amp;" €, au titre d'une perte d'au-moins 50 % de votre CA en Décembre 2020"))),"Vous n'avez pas indiqué de chiffre d'affaires de référence")</f>
        <v>Vous ne pouvez pas bénéficier du fonds de solidarité pour le mois de Décembre 2020</v>
      </c>
      <c r="E127" s="438"/>
      <c r="F127" s="438"/>
      <c r="G127" s="438"/>
      <c r="H127" s="438"/>
      <c r="I127" s="438"/>
      <c r="J127" s="438"/>
      <c r="K127" s="438"/>
      <c r="L127" s="438"/>
      <c r="M127" s="438"/>
      <c r="N127" s="438"/>
      <c r="O127" s="439"/>
      <c r="P127" s="1"/>
      <c r="T127" s="436" t="s">
        <v>25</v>
      </c>
      <c r="U127" s="435"/>
      <c r="V127" s="435"/>
      <c r="W127" s="435"/>
      <c r="X127" s="1"/>
      <c r="Y127" s="7">
        <f>'Mon Entreprise'!I73</f>
        <v>0</v>
      </c>
      <c r="Z127" s="133"/>
      <c r="AA127" s="21"/>
      <c r="AB127" s="7">
        <f>IF('Mon Entreprise'!I73-'Mon Entreprise'!M91&lt;0,0,'Mon Entreprise'!I73-'Mon Entreprise'!M91)</f>
        <v>0</v>
      </c>
      <c r="AC127" s="36"/>
      <c r="AD127" s="1"/>
      <c r="AE127" s="27">
        <f>IFERROR(1-'Mon Entreprise'!M91/'Mon Entreprise'!I73,0)</f>
        <v>0</v>
      </c>
    </row>
    <row r="128" spans="2:31" ht="15.75" hidden="1" customHeight="1">
      <c r="B128" s="103"/>
      <c r="C128" s="335"/>
      <c r="D128" s="440"/>
      <c r="E128" s="441"/>
      <c r="F128" s="441"/>
      <c r="G128" s="441"/>
      <c r="H128" s="441"/>
      <c r="I128" s="441"/>
      <c r="J128" s="441"/>
      <c r="K128" s="441"/>
      <c r="L128" s="441"/>
      <c r="M128" s="441"/>
      <c r="N128" s="441"/>
      <c r="O128" s="442"/>
      <c r="P128" s="1"/>
      <c r="T128" s="446" t="s">
        <v>22</v>
      </c>
      <c r="U128" s="447"/>
      <c r="V128" s="447"/>
      <c r="W128" s="447"/>
      <c r="X128" s="139"/>
      <c r="Y128" s="140" t="str">
        <f>IF('Mon Entreprise'!I132="","NC",'Mon Entreprise'!I132)</f>
        <v>NC</v>
      </c>
      <c r="Z128" s="192"/>
      <c r="AA128" s="193"/>
      <c r="AB128" s="143" t="str">
        <f>IFERROR(IF('Mon Entreprise'!I132-'Mon Entreprise'!M91&lt;0,0,'Mon Entreprise'!I132-'Mon Entreprise'!M91),"NC")</f>
        <v>NC</v>
      </c>
      <c r="AC128" s="194"/>
      <c r="AD128" s="139"/>
      <c r="AE128" s="146" t="str">
        <f>IFERROR(1-'Mon Entreprise'!M91/'Mon Entreprise'!I132,"NC")</f>
        <v>NC</v>
      </c>
    </row>
    <row r="129" spans="2:31" ht="15.75" hidden="1" customHeight="1">
      <c r="B129" s="103"/>
      <c r="C129" s="335"/>
      <c r="D129" s="440"/>
      <c r="E129" s="441"/>
      <c r="F129" s="441"/>
      <c r="G129" s="441"/>
      <c r="H129" s="441"/>
      <c r="I129" s="441"/>
      <c r="J129" s="441"/>
      <c r="K129" s="441"/>
      <c r="L129" s="441"/>
      <c r="M129" s="441"/>
      <c r="N129" s="441"/>
      <c r="O129" s="442"/>
      <c r="P129" s="1"/>
      <c r="T129" s="14"/>
      <c r="U129" s="1"/>
      <c r="V129" s="1"/>
      <c r="W129" s="1"/>
      <c r="X129" s="1"/>
      <c r="Y129" s="1"/>
      <c r="Z129" s="1"/>
      <c r="AA129" s="1"/>
      <c r="AB129" s="1"/>
      <c r="AC129" s="1"/>
      <c r="AD129" s="1"/>
      <c r="AE129" s="13"/>
    </row>
    <row r="130" spans="2:31" ht="15.75" hidden="1" customHeight="1">
      <c r="B130" s="103"/>
      <c r="C130" s="335"/>
      <c r="D130" s="440"/>
      <c r="E130" s="441"/>
      <c r="F130" s="441"/>
      <c r="G130" s="441"/>
      <c r="H130" s="441"/>
      <c r="I130" s="441"/>
      <c r="J130" s="441"/>
      <c r="K130" s="441"/>
      <c r="L130" s="441"/>
      <c r="M130" s="441"/>
      <c r="N130" s="441"/>
      <c r="O130" s="442"/>
      <c r="P130" s="1"/>
      <c r="T130" s="14"/>
      <c r="AC130" s="1"/>
      <c r="AD130" s="1"/>
      <c r="AE130" s="13"/>
    </row>
    <row r="131" spans="2:31" ht="15.75" hidden="1" customHeight="1" thickBot="1">
      <c r="B131" s="103"/>
      <c r="C131" s="335"/>
      <c r="D131" s="443"/>
      <c r="E131" s="444"/>
      <c r="F131" s="444"/>
      <c r="G131" s="444"/>
      <c r="H131" s="444"/>
      <c r="I131" s="444"/>
      <c r="J131" s="444"/>
      <c r="K131" s="444"/>
      <c r="L131" s="444"/>
      <c r="M131" s="444"/>
      <c r="N131" s="444"/>
      <c r="O131" s="445"/>
      <c r="P131" s="1"/>
      <c r="T131" s="14"/>
      <c r="AC131" s="1"/>
      <c r="AD131" s="1"/>
      <c r="AE131" s="13"/>
    </row>
    <row r="132" spans="2:31" ht="16.5" hidden="1" customHeight="1">
      <c r="B132" s="103"/>
      <c r="C132" s="335"/>
      <c r="D132" s="60"/>
      <c r="E132" s="335"/>
      <c r="F132" s="335"/>
      <c r="G132" s="335"/>
      <c r="H132" s="335"/>
      <c r="I132" s="335"/>
      <c r="J132" s="335"/>
      <c r="K132" s="335"/>
      <c r="L132" s="335"/>
      <c r="M132" s="335"/>
      <c r="N132" s="335"/>
      <c r="O132" s="335"/>
      <c r="P132" s="1"/>
      <c r="T132" s="14"/>
      <c r="AC132" s="1"/>
      <c r="AD132" s="1"/>
      <c r="AE132" s="13"/>
    </row>
    <row r="133" spans="2:31" ht="15.75">
      <c r="B133" s="103"/>
      <c r="C133" s="78"/>
      <c r="D133" s="78"/>
      <c r="E133" s="78"/>
      <c r="F133" s="78"/>
      <c r="G133" s="78"/>
      <c r="H133" s="78"/>
      <c r="I133" s="78"/>
      <c r="J133" s="78"/>
      <c r="K133" s="78"/>
      <c r="L133" s="78"/>
      <c r="M133" s="78"/>
      <c r="N133" s="78"/>
      <c r="O133" s="78"/>
      <c r="P133" s="1"/>
      <c r="T133" s="14"/>
      <c r="U133" s="1"/>
      <c r="V133" s="1"/>
      <c r="W133" s="1"/>
      <c r="X133" s="1"/>
      <c r="Y133" s="1"/>
      <c r="Z133" s="1"/>
      <c r="AA133" s="1"/>
      <c r="AB133" s="1"/>
      <c r="AC133" s="1"/>
      <c r="AD133" s="1"/>
      <c r="AE133" s="13"/>
    </row>
    <row r="134" spans="2:31" ht="15.75">
      <c r="B134" s="103"/>
      <c r="C134" s="335"/>
      <c r="D134" s="60"/>
      <c r="E134" s="335"/>
      <c r="F134" s="335"/>
      <c r="G134" s="335"/>
      <c r="H134" s="335"/>
      <c r="I134" s="335"/>
      <c r="J134" s="335"/>
      <c r="K134" s="335"/>
      <c r="L134" s="335"/>
      <c r="M134" s="335"/>
      <c r="N134" s="335"/>
      <c r="O134" s="335"/>
      <c r="P134" s="1"/>
      <c r="T134" s="14"/>
      <c r="U134" s="448" t="s">
        <v>72</v>
      </c>
      <c r="V134" s="448"/>
      <c r="W134" s="448"/>
      <c r="X134" s="448"/>
      <c r="Y134" s="448"/>
      <c r="Z134" s="1"/>
      <c r="AA134" s="14"/>
      <c r="AB134" s="332" t="str">
        <f>IF('Mon Entreprise'!K8&lt;=Annexes!Q24,"Oui","Non")</f>
        <v>Oui</v>
      </c>
      <c r="AC134" s="1"/>
      <c r="AD134" s="1"/>
      <c r="AE134" s="13"/>
    </row>
    <row r="135" spans="2:31" ht="15.75">
      <c r="B135" s="103"/>
      <c r="C135" s="335" t="s">
        <v>100</v>
      </c>
      <c r="D135" s="60"/>
      <c r="E135" s="335"/>
      <c r="F135" s="335"/>
      <c r="G135" s="335"/>
      <c r="H135" s="335"/>
      <c r="I135" s="335"/>
      <c r="J135" s="335"/>
      <c r="K135" s="335"/>
      <c r="L135" s="335"/>
      <c r="M135" s="335"/>
      <c r="N135" s="335"/>
      <c r="O135" s="335"/>
      <c r="P135" s="1"/>
      <c r="T135" s="14"/>
      <c r="U135" s="330"/>
      <c r="V135" s="448" t="s">
        <v>393</v>
      </c>
      <c r="W135" s="448"/>
      <c r="X135" s="448"/>
      <c r="Y135" s="448"/>
      <c r="Z135" s="1"/>
      <c r="AA135" s="14"/>
      <c r="AB135" s="332">
        <f>IF('Mon Entreprise'!K8&gt;=Annexes!O20,IF(Y126&gt;=Y128,Y126,Y128),IF(Y126&gt;=Y127,Y126,Y127))</f>
        <v>0</v>
      </c>
      <c r="AC135" s="1"/>
      <c r="AD135" s="1"/>
      <c r="AE135" s="13"/>
    </row>
    <row r="136" spans="2:31" ht="15.75">
      <c r="B136" s="169"/>
      <c r="C136" s="335"/>
      <c r="D136" s="60" t="str">
        <f>IFERROR(IF('Mon Entreprise'!K8&gt;=Annexes!O20,IF(AB126&gt;=AB128,"Le CA de référence est celui de Décembre 2019, soit une perte de "&amp;ROUND(AB126,0)&amp;" €"&amp;" ==&gt; "&amp;ROUND(AE126*100,0)&amp;" %","Le CA de référence est celui de la création, soit une perte de "&amp;ROUND(AB128,0)&amp;" €"&amp;" ==&gt; "&amp;ROUND(AE128*100,0)&amp;" %"),IF(AB126&gt;=AB127,"Le CA de référence est celui de Décembre 2019, soit une perte de "&amp;ROUND(AB126,0)&amp;" €"&amp;" ==&gt; "&amp;ROUND(AE126*100,0)&amp;" %","Le CA de référence est celui de de l'exercice 2019, soit une perte de "&amp;ROUND(AB127,0)&amp;" €"&amp;" ==&gt; "&amp;ROUND(AE127*100,0)&amp;" %")),"")</f>
        <v>Le CA de référence est celui de Décembre 2019, soit une perte de 0 € ==&gt; 0 %</v>
      </c>
      <c r="E136" s="335"/>
      <c r="F136" s="335"/>
      <c r="G136" s="335"/>
      <c r="H136" s="335"/>
      <c r="I136" s="335"/>
      <c r="J136" s="335"/>
      <c r="K136" s="335"/>
      <c r="L136" s="335"/>
      <c r="M136" s="335"/>
      <c r="N136" s="335"/>
      <c r="O136" s="335"/>
      <c r="P136" s="1"/>
      <c r="T136" s="14"/>
      <c r="U136" s="448" t="s">
        <v>84</v>
      </c>
      <c r="V136" s="448"/>
      <c r="W136" s="448"/>
      <c r="X136" s="448"/>
      <c r="Y136" s="448"/>
      <c r="Z136" s="1"/>
      <c r="AA136" s="14"/>
      <c r="AB136" s="333">
        <f>IF('Mon Entreprise'!K8&gt;=Annexes!O20,IF(AB126&gt;=AB128,AB126,AB128),IF(AB126&gt;=AB127,AB126,AB127))</f>
        <v>0</v>
      </c>
      <c r="AC136" s="1"/>
      <c r="AD136" s="1"/>
      <c r="AE136" s="13"/>
    </row>
    <row r="137" spans="2:31" ht="16.5" thickBot="1">
      <c r="B137" s="103"/>
      <c r="C137" s="335"/>
      <c r="D137" s="60"/>
      <c r="E137" s="335"/>
      <c r="F137" s="335"/>
      <c r="G137" s="335"/>
      <c r="H137" s="335"/>
      <c r="I137" s="335"/>
      <c r="J137" s="335"/>
      <c r="K137" s="335"/>
      <c r="L137" s="335"/>
      <c r="M137" s="335"/>
      <c r="N137" s="335"/>
      <c r="O137" s="335"/>
      <c r="P137" s="1"/>
      <c r="T137" s="14"/>
      <c r="U137" s="448" t="s">
        <v>85</v>
      </c>
      <c r="V137" s="448"/>
      <c r="W137" s="448"/>
      <c r="X137" s="448"/>
      <c r="Y137" s="448"/>
      <c r="Z137" s="1"/>
      <c r="AA137" s="14"/>
      <c r="AB137" s="19">
        <f>IF('Mon Entreprise'!K8&gt;=Annexes!O20,IF(AB126&gt;=AB128,AE126,AE128),IF(AB126&gt;=AB127,AE126,AE127))</f>
        <v>0</v>
      </c>
      <c r="AC137" s="1"/>
      <c r="AD137" s="1"/>
      <c r="AE137" s="13"/>
    </row>
    <row r="138" spans="2:31" ht="15.75">
      <c r="B138" s="169"/>
      <c r="C138" s="335"/>
      <c r="D138" s="450" t="str">
        <f>IFERROR(IF(AB134="Non","Vous avez débuté votre activité après le 30 Septembre 2020, vous ne pouvez donc pas bénéficier de cette aide",IF(AB137&gt;=0.5,IF(AB136&gt;Annexes!O5,"Dans votre cas, l'aide est Plafonnée, à "&amp;Annexes!O5&amp;" € pour le mois de Décembre","Vous pouvez bénéficier, au titre de cette aide, d'un montant de "&amp;ROUND(AB136,0)&amp;" € pour le mois de Décembre"),"L'entreprise n'a pas une perte d'au moins 50 % en Décembre 2020")),"Vous n'avez pas indiqué de chiffre d'affaires de référence")</f>
        <v>L'entreprise n'a pas une perte d'au moins 50 % en Décembre 2020</v>
      </c>
      <c r="E138" s="451"/>
      <c r="F138" s="451"/>
      <c r="G138" s="451"/>
      <c r="H138" s="451"/>
      <c r="I138" s="451"/>
      <c r="J138" s="451"/>
      <c r="K138" s="451"/>
      <c r="L138" s="451"/>
      <c r="M138" s="451"/>
      <c r="N138" s="451"/>
      <c r="O138" s="452"/>
      <c r="P138" s="1"/>
      <c r="T138" s="14"/>
      <c r="U138" s="1"/>
      <c r="V138" s="1"/>
      <c r="W138" s="1"/>
      <c r="X138" s="1"/>
      <c r="Y138" s="1"/>
      <c r="Z138" s="1"/>
      <c r="AA138" s="1"/>
      <c r="AB138" s="1"/>
      <c r="AC138" s="1"/>
      <c r="AD138" s="1"/>
      <c r="AE138" s="13"/>
    </row>
    <row r="139" spans="2:31" ht="15.75" customHeight="1">
      <c r="B139" s="169"/>
      <c r="C139" s="335"/>
      <c r="D139" s="453"/>
      <c r="E139" s="454"/>
      <c r="F139" s="454"/>
      <c r="G139" s="454"/>
      <c r="H139" s="454"/>
      <c r="I139" s="454"/>
      <c r="J139" s="454"/>
      <c r="K139" s="454"/>
      <c r="L139" s="454"/>
      <c r="M139" s="454"/>
      <c r="N139" s="454"/>
      <c r="O139" s="455"/>
      <c r="P139" s="1"/>
      <c r="T139" s="14"/>
      <c r="U139" s="1"/>
      <c r="V139" s="1"/>
      <c r="W139" s="1"/>
      <c r="X139" s="1"/>
      <c r="Y139" s="1"/>
      <c r="Z139" s="1"/>
      <c r="AA139" s="1"/>
      <c r="AB139" s="1"/>
      <c r="AC139" s="1"/>
      <c r="AD139" s="1"/>
      <c r="AE139" s="13"/>
    </row>
    <row r="140" spans="2:31" ht="15.75" customHeight="1">
      <c r="B140" s="103"/>
      <c r="C140" s="335"/>
      <c r="D140" s="453"/>
      <c r="E140" s="454"/>
      <c r="F140" s="454"/>
      <c r="G140" s="454"/>
      <c r="H140" s="454"/>
      <c r="I140" s="454"/>
      <c r="J140" s="454"/>
      <c r="K140" s="454"/>
      <c r="L140" s="454"/>
      <c r="M140" s="454"/>
      <c r="N140" s="454"/>
      <c r="O140" s="455"/>
      <c r="P140" s="1"/>
      <c r="T140" s="14"/>
      <c r="U140" s="1"/>
      <c r="V140" s="1"/>
      <c r="W140" s="1"/>
      <c r="X140" s="1"/>
      <c r="Y140" s="1"/>
      <c r="Z140" s="1"/>
      <c r="AA140" s="1"/>
      <c r="AB140" s="1"/>
      <c r="AC140" s="1"/>
      <c r="AD140" s="1"/>
      <c r="AE140" s="13"/>
    </row>
    <row r="141" spans="2:31" ht="15.75" customHeight="1" thickBot="1">
      <c r="B141" s="103"/>
      <c r="C141" s="335"/>
      <c r="D141" s="456"/>
      <c r="E141" s="457"/>
      <c r="F141" s="457"/>
      <c r="G141" s="457"/>
      <c r="H141" s="457"/>
      <c r="I141" s="457"/>
      <c r="J141" s="457"/>
      <c r="K141" s="457"/>
      <c r="L141" s="457"/>
      <c r="M141" s="457"/>
      <c r="N141" s="457"/>
      <c r="O141" s="458"/>
      <c r="P141" s="1"/>
      <c r="T141" s="14"/>
      <c r="U141" s="1"/>
      <c r="V141" s="1"/>
      <c r="W141" s="1"/>
      <c r="X141" s="1"/>
      <c r="Y141" s="1"/>
      <c r="Z141" s="1"/>
      <c r="AA141" s="1"/>
      <c r="AB141" s="1"/>
      <c r="AC141" s="1"/>
      <c r="AD141" s="1"/>
      <c r="AE141" s="13"/>
    </row>
    <row r="142" spans="2:31" ht="16.5" customHeight="1">
      <c r="B142" s="103"/>
      <c r="C142" s="170"/>
      <c r="D142" s="171"/>
      <c r="E142" s="171"/>
      <c r="F142" s="171"/>
      <c r="G142" s="171"/>
      <c r="H142" s="171"/>
      <c r="I142" s="171"/>
      <c r="J142" s="171"/>
      <c r="K142" s="171"/>
      <c r="L142" s="171"/>
      <c r="M142" s="171"/>
      <c r="N142" s="171"/>
      <c r="O142" s="171"/>
      <c r="P142" s="1"/>
      <c r="T142" s="14"/>
      <c r="U142" s="1"/>
      <c r="V142" s="1"/>
      <c r="W142" s="1"/>
      <c r="X142" s="1"/>
      <c r="Y142" s="1"/>
      <c r="Z142" s="1"/>
      <c r="AA142" s="1"/>
      <c r="AB142" s="1"/>
      <c r="AC142" s="1"/>
      <c r="AD142" s="1"/>
      <c r="AE142" s="13"/>
    </row>
    <row r="143" spans="2:31" ht="16.5" customHeight="1">
      <c r="B143" s="103"/>
      <c r="C143" s="335"/>
      <c r="D143" s="309"/>
      <c r="E143" s="309"/>
      <c r="F143" s="309"/>
      <c r="G143" s="309"/>
      <c r="H143" s="309"/>
      <c r="I143" s="309"/>
      <c r="J143" s="309"/>
      <c r="K143" s="309"/>
      <c r="L143" s="309"/>
      <c r="M143" s="309"/>
      <c r="N143" s="309"/>
      <c r="O143" s="309"/>
      <c r="P143" s="1"/>
      <c r="T143" s="460" t="s">
        <v>4</v>
      </c>
      <c r="U143" s="461"/>
      <c r="V143" s="461"/>
      <c r="W143" s="461"/>
      <c r="X143" s="461"/>
      <c r="Y143" s="461"/>
      <c r="Z143" s="139"/>
      <c r="AA143" s="145"/>
      <c r="AB143" s="195">
        <f>IFERROR(IF('Mon Entreprise'!K8&gt;=Annexes!Q18,0,1-'Mon Entreprise'!M93/2/AB135),0)</f>
        <v>0</v>
      </c>
      <c r="AC143" s="1"/>
      <c r="AD143" s="1"/>
      <c r="AE143" s="13"/>
    </row>
    <row r="144" spans="2:31" ht="16.5" customHeight="1">
      <c r="B144" s="103"/>
      <c r="C144" s="463" t="s">
        <v>112</v>
      </c>
      <c r="D144" s="463"/>
      <c r="E144" s="463"/>
      <c r="F144" s="463"/>
      <c r="G144" s="463"/>
      <c r="H144" s="463"/>
      <c r="I144" s="463"/>
      <c r="J144" s="463"/>
      <c r="K144" s="463"/>
      <c r="L144" s="463"/>
      <c r="M144" s="463"/>
      <c r="N144" s="463"/>
      <c r="O144" s="463"/>
      <c r="P144" s="1"/>
      <c r="T144" s="110"/>
      <c r="U144" s="462" t="s">
        <v>102</v>
      </c>
      <c r="V144" s="462"/>
      <c r="W144" s="462"/>
      <c r="X144" s="462"/>
      <c r="Y144" s="462"/>
      <c r="Z144" s="139"/>
      <c r="AA144" s="145"/>
      <c r="AB144" s="195">
        <f>IFERROR(IF('Mon Entreprise'!K8&gt;Annexes!Q26,0,1-'Mon Entreprise'!M89/AB135),0)</f>
        <v>0</v>
      </c>
      <c r="AC144" s="1"/>
      <c r="AD144" s="1"/>
      <c r="AE144" s="13"/>
    </row>
    <row r="145" spans="1:31" ht="16.5" customHeight="1">
      <c r="B145" s="103"/>
      <c r="C145" s="463"/>
      <c r="D145" s="463"/>
      <c r="E145" s="463"/>
      <c r="F145" s="463"/>
      <c r="G145" s="463"/>
      <c r="H145" s="463"/>
      <c r="I145" s="463"/>
      <c r="J145" s="463"/>
      <c r="K145" s="463"/>
      <c r="L145" s="463"/>
      <c r="M145" s="463"/>
      <c r="N145" s="463"/>
      <c r="O145" s="463"/>
      <c r="P145" s="1"/>
      <c r="T145" s="110"/>
      <c r="U145" s="462" t="s">
        <v>109</v>
      </c>
      <c r="V145" s="462"/>
      <c r="W145" s="462"/>
      <c r="X145" s="462"/>
      <c r="Y145" s="462"/>
      <c r="Z145" s="139"/>
      <c r="AA145" s="145"/>
      <c r="AB145" s="195">
        <f>IFERROR(IF(Annexes!O27&gt;'Mon Entreprise'!K8,1-'Mon Entreprise'!M73/'Mon Entreprise'!I73,""),0)</f>
        <v>0</v>
      </c>
      <c r="AC145" s="1"/>
      <c r="AD145" s="1"/>
      <c r="AE145" s="13"/>
    </row>
    <row r="146" spans="1:31" ht="16.5" customHeight="1">
      <c r="B146" s="103"/>
      <c r="C146" s="463"/>
      <c r="D146" s="463"/>
      <c r="E146" s="463"/>
      <c r="F146" s="463"/>
      <c r="G146" s="463"/>
      <c r="H146" s="463"/>
      <c r="I146" s="463"/>
      <c r="J146" s="463"/>
      <c r="K146" s="463"/>
      <c r="L146" s="463"/>
      <c r="M146" s="463"/>
      <c r="N146" s="463"/>
      <c r="O146" s="463"/>
      <c r="P146" s="1"/>
      <c r="T146" s="14"/>
      <c r="U146" s="464" t="s">
        <v>8</v>
      </c>
      <c r="V146" s="464"/>
      <c r="W146" s="464"/>
      <c r="X146" s="464"/>
      <c r="Y146" s="464"/>
      <c r="Z146" s="1"/>
      <c r="AA146" s="14"/>
      <c r="AB146" s="333" t="str">
        <f>IF((AND(Annexes!F5&gt;1,Annexes!F5&lt;=Annexes!H6)),"OUI","NON")</f>
        <v>NON</v>
      </c>
      <c r="AC146" s="1"/>
      <c r="AD146" s="1"/>
      <c r="AE146" s="13"/>
    </row>
    <row r="147" spans="1:31" ht="16.5" customHeight="1">
      <c r="B147" s="103"/>
      <c r="C147" s="335"/>
      <c r="D147" s="309"/>
      <c r="E147" s="359"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47" s="359"/>
      <c r="G147" s="359"/>
      <c r="H147" s="359"/>
      <c r="I147" s="359"/>
      <c r="J147" s="359"/>
      <c r="K147" s="359"/>
      <c r="L147" s="359"/>
      <c r="M147" s="359"/>
      <c r="N147" s="359"/>
      <c r="O147" s="359"/>
      <c r="P147" s="1"/>
      <c r="T147" s="14"/>
      <c r="U147" s="435" t="s">
        <v>113</v>
      </c>
      <c r="V147" s="435"/>
      <c r="W147" s="435"/>
      <c r="X147" s="435"/>
      <c r="Y147" s="435"/>
      <c r="Z147" s="1"/>
      <c r="AA147" s="14"/>
      <c r="AB147" s="333" t="str">
        <f>IF(OR(Annexes!M17=TRUE,AND(Annexes!F7&gt;1,Annexes!F7&lt;=Annexes!H8)),"OUI","NON")</f>
        <v>NON</v>
      </c>
      <c r="AC147" s="1"/>
      <c r="AD147" s="1"/>
      <c r="AE147" s="13"/>
    </row>
    <row r="148" spans="1:31" ht="16.5" customHeight="1">
      <c r="B148" s="169"/>
      <c r="C148" s="335"/>
      <c r="D148" s="309"/>
      <c r="E148" s="359"/>
      <c r="F148" s="359"/>
      <c r="G148" s="359"/>
      <c r="H148" s="359"/>
      <c r="I148" s="359"/>
      <c r="J148" s="359"/>
      <c r="K148" s="359"/>
      <c r="L148" s="359"/>
      <c r="M148" s="359"/>
      <c r="N148" s="359"/>
      <c r="O148" s="359"/>
      <c r="P148" s="1"/>
      <c r="T148" s="14"/>
      <c r="U148" s="435" t="s">
        <v>12</v>
      </c>
      <c r="V148" s="435"/>
      <c r="W148" s="435"/>
      <c r="X148" s="435"/>
      <c r="Y148" s="435"/>
      <c r="Z148" s="1"/>
      <c r="AA148" s="14"/>
      <c r="AB148" s="333" t="b">
        <f>Annexes!M15</f>
        <v>0</v>
      </c>
      <c r="AC148" s="1"/>
      <c r="AD148" s="1"/>
      <c r="AE148" s="13"/>
    </row>
    <row r="149" spans="1:31" ht="16.5" customHeight="1">
      <c r="A149" s="99"/>
      <c r="B149" s="103"/>
      <c r="C149" s="335"/>
      <c r="D149" s="465"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49" s="465"/>
      <c r="F149" s="465"/>
      <c r="G149" s="465"/>
      <c r="H149" s="465"/>
      <c r="I149" s="465"/>
      <c r="J149" s="465"/>
      <c r="K149" s="465"/>
      <c r="L149" s="465"/>
      <c r="M149" s="465"/>
      <c r="N149" s="465"/>
      <c r="O149" s="465"/>
      <c r="P149" s="1"/>
      <c r="T149" s="14"/>
      <c r="U149" s="467" t="s">
        <v>72</v>
      </c>
      <c r="V149" s="467"/>
      <c r="W149" s="467"/>
      <c r="X149" s="467"/>
      <c r="Y149" s="467"/>
      <c r="Z149" s="139"/>
      <c r="AA149" s="145"/>
      <c r="AB149" s="332" t="str">
        <f>IF('Mon Entreprise'!K8&lt;=Annexes!Q24,"Oui","Non")</f>
        <v>Oui</v>
      </c>
      <c r="AC149" s="139"/>
      <c r="AD149" s="1"/>
      <c r="AE149" s="13"/>
    </row>
    <row r="150" spans="1:31" ht="16.5" customHeight="1">
      <c r="B150" s="103"/>
      <c r="C150" s="335"/>
      <c r="D150" s="216" t="str">
        <f>IF(OR(AB146="OUI",AB148=TRUE),"- Sans ticket modérateur",IF(AND(AB147="OUI",OR(AB143&gt;=0.8,AB144&gt;=0.8,AB145&gt;=0.1)),"- La Perte de référence est plafonnée à 80 %, soit "&amp;ROUND(AB154,0)&amp;" €","- Sans ticket modérateur"))</f>
        <v>- Sans ticket modérateur</v>
      </c>
      <c r="E150" s="328"/>
      <c r="F150" s="328"/>
      <c r="G150" s="328"/>
      <c r="H150" s="328"/>
      <c r="I150" s="328"/>
      <c r="J150" s="328"/>
      <c r="K150" s="328"/>
      <c r="L150" s="328"/>
      <c r="M150" s="328"/>
      <c r="N150" s="328"/>
      <c r="O150" s="328"/>
      <c r="P150" s="1"/>
      <c r="T150" s="14"/>
      <c r="U150" s="467" t="s">
        <v>84</v>
      </c>
      <c r="V150" s="467"/>
      <c r="W150" s="467"/>
      <c r="X150" s="467"/>
      <c r="Y150" s="467"/>
      <c r="Z150" s="139"/>
      <c r="AA150" s="145"/>
      <c r="AB150" s="332">
        <f>IF('Mon Entreprise'!K8&gt;=Annexes!O20,IF(AB126&gt;=AB128,AB126,AB128),IF(AB126&gt;=AB127,AB126,AB127))</f>
        <v>0</v>
      </c>
      <c r="AC150" s="139"/>
      <c r="AD150" s="1"/>
      <c r="AE150" s="13"/>
    </row>
    <row r="151" spans="1:31" ht="16.5" customHeight="1" thickBot="1">
      <c r="B151" s="103"/>
      <c r="C151" s="335"/>
      <c r="D151" s="328"/>
      <c r="E151" s="328"/>
      <c r="F151" s="328"/>
      <c r="G151" s="328"/>
      <c r="H151" s="328"/>
      <c r="I151" s="328"/>
      <c r="J151" s="328"/>
      <c r="K151" s="328"/>
      <c r="L151" s="328"/>
      <c r="M151" s="328"/>
      <c r="N151" s="328"/>
      <c r="O151" s="328"/>
      <c r="P151" s="1"/>
      <c r="T151" s="14"/>
      <c r="U151" s="467" t="s">
        <v>85</v>
      </c>
      <c r="V151" s="467"/>
      <c r="W151" s="467"/>
      <c r="X151" s="467"/>
      <c r="Y151" s="467"/>
      <c r="Z151" s="139"/>
      <c r="AA151" s="145"/>
      <c r="AB151" s="332">
        <f>IF('Mon Entreprise'!K8&gt;=Annexes!O20,IF(AB126&gt;=AB128,AE126,AE128),IF(AB126&gt;=AB127,AE126,AE127))</f>
        <v>0</v>
      </c>
      <c r="AC151" s="139"/>
      <c r="AD151" s="1"/>
      <c r="AE151" s="13"/>
    </row>
    <row r="152" spans="1:31" ht="16.5" customHeight="1">
      <c r="B152" s="103"/>
      <c r="C152" s="335"/>
      <c r="D152" s="450" t="str">
        <f>IFERROR(IF('Mon Entreprise'!K8&gt;Annexes!Q24,"Vous avez débuté votre activité après le 30 Septembre 2020, vous ne pouvez donc pas bénéficier de cette aide",IF(AB148=TRUE,IF(AB154&gt;Annexes!O6,"Dans votre cas, l'aide est Plafonnée, à "&amp;Annexes!O6&amp;" € pour le mois de Décembre","Vous pouvez bénéficier, au titre de cette aide, d'un montant de "&amp;ROUND(AB154,0)&amp;" € pour le mois de Décembre"),IF(AB151&gt;=0.5,IF(OR(AB146="OUI",AND(AB147="OUI",OR(AB143&gt;=Annexes!P5,AB144&gt;=Annexes!P5,AB145&gt;=0.1))),IF(AB154&gt;Annexes!O6,"Dans votre cas, l'aide est Plafonnée, à "&amp;Annexes!O6&amp;" € pour le mois de Décembre","Vous pouvez bénéficier, au titre de cette aide, d'un montant de "&amp;ROUND(AB154,0)&amp;" € pour le mois de Décembre"),IF(AND(AB147="OUI",OR(AB143&lt;Annexes!P5,AB144&lt;Annexes!P5,AB145&lt;0.1)),"L'entreprise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Décembre 2020"))),"Vous n'avez pas indiqué de chiffre d'affaires de référence")</f>
        <v>L'entreprise n'a pas une perte d'au moins 50 % en Décembre 2020</v>
      </c>
      <c r="E152" s="451"/>
      <c r="F152" s="451"/>
      <c r="G152" s="451"/>
      <c r="H152" s="451"/>
      <c r="I152" s="451"/>
      <c r="J152" s="451"/>
      <c r="K152" s="451"/>
      <c r="L152" s="451"/>
      <c r="M152" s="451"/>
      <c r="N152" s="451"/>
      <c r="O152" s="452"/>
      <c r="P152" s="1"/>
      <c r="T152" s="14"/>
      <c r="U152" s="447" t="s">
        <v>74</v>
      </c>
      <c r="V152" s="447"/>
      <c r="W152" s="447"/>
      <c r="X152" s="447"/>
      <c r="Y152" s="447"/>
      <c r="Z152" s="139"/>
      <c r="AA152" s="145"/>
      <c r="AB152" s="332">
        <f>IF(OR(AB146="OUI",AB148=TRUE),1,IF(AND(AB147="OUI",OR(AB143&gt;=0.8,AB144&gt;=0.8)),0.8,1))</f>
        <v>1</v>
      </c>
      <c r="AC152" s="139"/>
      <c r="AD152" s="1"/>
      <c r="AE152" s="13"/>
    </row>
    <row r="153" spans="1:31" ht="16.5" customHeight="1">
      <c r="B153" s="174"/>
      <c r="C153" s="335"/>
      <c r="D153" s="453"/>
      <c r="E153" s="454"/>
      <c r="F153" s="454"/>
      <c r="G153" s="454"/>
      <c r="H153" s="454"/>
      <c r="I153" s="454"/>
      <c r="J153" s="454"/>
      <c r="K153" s="454"/>
      <c r="L153" s="454"/>
      <c r="M153" s="454"/>
      <c r="N153" s="454"/>
      <c r="O153" s="455"/>
      <c r="P153" s="1"/>
      <c r="T153" s="14"/>
      <c r="U153" s="447" t="s">
        <v>80</v>
      </c>
      <c r="V153" s="447"/>
      <c r="W153" s="447"/>
      <c r="X153" s="447"/>
      <c r="Y153" s="447"/>
      <c r="Z153" s="139"/>
      <c r="AA153" s="145"/>
      <c r="AB153" s="332">
        <f>IF('Mon Entreprise'!K8&gt;=Annexes!O20,IF(AB126&gt;=AB128,Y126,Y128),IF(AB126&gt;=AB127,Y126,Y127))</f>
        <v>0</v>
      </c>
      <c r="AC153" s="139"/>
      <c r="AD153" s="1"/>
      <c r="AE153" s="13"/>
    </row>
    <row r="154" spans="1:31" ht="16.5" customHeight="1">
      <c r="B154" s="103"/>
      <c r="C154" s="335"/>
      <c r="D154" s="453"/>
      <c r="E154" s="454"/>
      <c r="F154" s="454"/>
      <c r="G154" s="454"/>
      <c r="H154" s="454"/>
      <c r="I154" s="454"/>
      <c r="J154" s="454"/>
      <c r="K154" s="454"/>
      <c r="L154" s="454"/>
      <c r="M154" s="454"/>
      <c r="N154" s="454"/>
      <c r="O154" s="455"/>
      <c r="P154" s="1"/>
      <c r="T154" s="14"/>
      <c r="U154" s="435" t="s">
        <v>104</v>
      </c>
      <c r="V154" s="435"/>
      <c r="W154" s="435"/>
      <c r="X154" s="435"/>
      <c r="Y154" s="435"/>
      <c r="Z154" s="1"/>
      <c r="AA154" s="14"/>
      <c r="AB154" s="333">
        <f>IF(AB152=1,AB150,IF(AB150*AB152&gt;1500,IF(AB150&gt;1500,AB150*AB152,"Impossible"),IF(AB150&lt;1500,AB150,1500)))</f>
        <v>0</v>
      </c>
      <c r="AC154" s="1"/>
      <c r="AD154" s="1"/>
      <c r="AE154" s="13"/>
    </row>
    <row r="155" spans="1:31" ht="16.5" customHeight="1" thickBot="1">
      <c r="B155" s="103"/>
      <c r="C155" s="335"/>
      <c r="D155" s="456"/>
      <c r="E155" s="457"/>
      <c r="F155" s="457"/>
      <c r="G155" s="457"/>
      <c r="H155" s="457"/>
      <c r="I155" s="457"/>
      <c r="J155" s="457"/>
      <c r="K155" s="457"/>
      <c r="L155" s="457"/>
      <c r="M155" s="457"/>
      <c r="N155" s="457"/>
      <c r="O155" s="458"/>
      <c r="P155" s="1"/>
      <c r="T155" s="14"/>
      <c r="U155" s="333"/>
      <c r="V155" s="333"/>
      <c r="W155" s="333"/>
      <c r="X155" s="333"/>
      <c r="Y155" s="333"/>
      <c r="Z155" s="1"/>
      <c r="AA155" s="1"/>
      <c r="AB155" s="1"/>
      <c r="AC155" s="1"/>
      <c r="AD155" s="1"/>
      <c r="AE155" s="13"/>
    </row>
    <row r="156" spans="1:31" ht="16.5" customHeight="1">
      <c r="B156" s="103"/>
      <c r="C156" s="170"/>
      <c r="D156" s="175"/>
      <c r="E156" s="175"/>
      <c r="F156" s="175"/>
      <c r="G156" s="175"/>
      <c r="H156" s="175"/>
      <c r="I156" s="175"/>
      <c r="J156" s="175"/>
      <c r="K156" s="175"/>
      <c r="L156" s="175"/>
      <c r="M156" s="175"/>
      <c r="N156" s="175"/>
      <c r="O156" s="175"/>
      <c r="P156" s="1"/>
      <c r="T156" s="14"/>
      <c r="U156" s="435"/>
      <c r="V156" s="435"/>
      <c r="W156" s="435"/>
      <c r="X156" s="435"/>
      <c r="Y156" s="435"/>
      <c r="Z156" s="1"/>
      <c r="AA156" s="1"/>
      <c r="AB156" s="1"/>
      <c r="AC156" s="1"/>
      <c r="AD156" s="1"/>
      <c r="AE156" s="13"/>
    </row>
    <row r="157" spans="1:31" ht="16.5" customHeight="1">
      <c r="B157" s="103"/>
      <c r="C157" s="335"/>
      <c r="D157" s="328"/>
      <c r="E157" s="328"/>
      <c r="F157" s="328"/>
      <c r="G157" s="328"/>
      <c r="H157" s="328"/>
      <c r="I157" s="328"/>
      <c r="J157" s="328"/>
      <c r="K157" s="328"/>
      <c r="L157" s="328"/>
      <c r="M157" s="328"/>
      <c r="N157" s="328"/>
      <c r="O157" s="328"/>
      <c r="P157" s="1"/>
      <c r="T157" s="14"/>
      <c r="U157" s="333"/>
      <c r="V157" s="333"/>
      <c r="W157" s="333"/>
      <c r="X157" s="333"/>
      <c r="Y157" s="333"/>
      <c r="Z157" s="1"/>
      <c r="AA157" s="1"/>
      <c r="AB157" s="1"/>
      <c r="AC157" s="1"/>
      <c r="AD157" s="1"/>
      <c r="AE157" s="13"/>
    </row>
    <row r="158" spans="1:31" ht="16.5" customHeight="1">
      <c r="B158" s="103"/>
      <c r="C158" s="469" t="s">
        <v>114</v>
      </c>
      <c r="D158" s="469"/>
      <c r="E158" s="469"/>
      <c r="F158" s="469"/>
      <c r="G158" s="469"/>
      <c r="H158" s="469"/>
      <c r="I158" s="469"/>
      <c r="J158" s="469"/>
      <c r="K158" s="469"/>
      <c r="L158" s="469"/>
      <c r="M158" s="469"/>
      <c r="N158" s="469"/>
      <c r="O158" s="469"/>
      <c r="P158" s="1"/>
      <c r="T158" s="14"/>
      <c r="U158" s="1"/>
      <c r="V158" s="1"/>
      <c r="W158" s="1"/>
      <c r="X158" s="1"/>
      <c r="Y158" s="1"/>
      <c r="Z158" s="1"/>
      <c r="AA158" s="1"/>
      <c r="AB158" s="1"/>
      <c r="AC158" s="1"/>
      <c r="AD158" s="1"/>
      <c r="AE158" s="13"/>
    </row>
    <row r="159" spans="1:31" ht="16.5" customHeight="1">
      <c r="B159" s="103"/>
      <c r="C159" s="469"/>
      <c r="D159" s="469"/>
      <c r="E159" s="469"/>
      <c r="F159" s="469"/>
      <c r="G159" s="469"/>
      <c r="H159" s="469"/>
      <c r="I159" s="469"/>
      <c r="J159" s="469"/>
      <c r="K159" s="469"/>
      <c r="L159" s="469"/>
      <c r="M159" s="469"/>
      <c r="N159" s="469"/>
      <c r="O159" s="469"/>
      <c r="P159" s="1"/>
      <c r="T159" s="14"/>
      <c r="U159" s="1"/>
      <c r="V159" s="1"/>
      <c r="W159" s="1"/>
      <c r="X159" s="1"/>
      <c r="Y159" s="1"/>
      <c r="Z159" s="1"/>
      <c r="AA159" s="1"/>
      <c r="AB159" s="1"/>
      <c r="AC159" s="1"/>
      <c r="AD159" s="1"/>
      <c r="AE159" s="13"/>
    </row>
    <row r="160" spans="1:31" ht="16.5" customHeight="1">
      <c r="B160" s="174"/>
      <c r="C160" s="469"/>
      <c r="D160" s="469"/>
      <c r="E160" s="469"/>
      <c r="F160" s="469"/>
      <c r="G160" s="469"/>
      <c r="H160" s="469"/>
      <c r="I160" s="469"/>
      <c r="J160" s="469"/>
      <c r="K160" s="469"/>
      <c r="L160" s="469"/>
      <c r="M160" s="469"/>
      <c r="N160" s="469"/>
      <c r="O160" s="469"/>
      <c r="P160" s="1"/>
      <c r="T160" s="14"/>
      <c r="U160" s="447" t="s">
        <v>82</v>
      </c>
      <c r="V160" s="447"/>
      <c r="W160" s="447"/>
      <c r="X160" s="447"/>
      <c r="Y160" s="447"/>
      <c r="Z160" s="68"/>
      <c r="AA160" s="1"/>
      <c r="AB160" s="1">
        <f>IFERROR(IF(AB134="Non",0,IF(AB137&gt;=0.5,IF(AB136&gt;Annexes!O5,Annexes!O5,ROUND(AB136,0)),0)),0)</f>
        <v>0</v>
      </c>
      <c r="AC160" s="1"/>
      <c r="AD160" s="1"/>
      <c r="AE160" s="13"/>
    </row>
    <row r="161" spans="2:31" ht="16.5" customHeight="1">
      <c r="B161" s="174"/>
      <c r="C161" s="335"/>
      <c r="D161" s="309"/>
      <c r="E161" s="359" t="str">
        <f>IF('Mon Entreprise'!K8&gt;Annexes!Q24,"",IF(OR(AB146="OUI",AND(AB147="OUI",OR(AB143&gt;=Annexes!P5,AB144&gt;=Annexes!P5,'Mes Aides'!AB145&gt;=0.1)),AB148=TRUE),"",IF(AND(AB147="OUI",OR(AB143&lt;Annexes!P5,AB144&lt;Annexes!P5,'Mes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161" s="359"/>
      <c r="G161" s="359"/>
      <c r="H161" s="359"/>
      <c r="I161" s="359"/>
      <c r="J161" s="359"/>
      <c r="K161" s="359"/>
      <c r="L161" s="359"/>
      <c r="M161" s="359"/>
      <c r="N161" s="359"/>
      <c r="O161" s="359"/>
      <c r="P161" s="1"/>
      <c r="T161" s="14"/>
      <c r="U161" s="447" t="s">
        <v>81</v>
      </c>
      <c r="V161" s="447"/>
      <c r="W161" s="447"/>
      <c r="X161" s="447"/>
      <c r="Y161" s="447"/>
      <c r="Z161" s="68"/>
      <c r="AA161" s="1"/>
      <c r="AB161" s="1">
        <f>IFERROR(IF('Mon Entreprise'!K8&gt;Annexes!Q24,0,IF(AB148=TRUE,IF(AB154&gt;Annexes!O6,Annexes!O6,ROUND(AB154,0)),IF(AB151&gt;=0.5,IF(OR(AB146="OUI",AND(AB147="OUI",OR(AB143&gt;=Annexes!P5,AB144&gt;=Annexes!P5))),IF(AB154&gt;Annexes!O6,Annexes!O6,ROUND(AB154,0)),IF(AND(AB147="OUI",OR(AB143&lt;Annexes!P5,AB144&lt;Annexes!P5)),0,0)),0))),0)</f>
        <v>0</v>
      </c>
      <c r="AC161" s="1"/>
      <c r="AD161" s="1"/>
      <c r="AE161" s="13"/>
    </row>
    <row r="162" spans="2:31" ht="16.5" customHeight="1">
      <c r="B162" s="174"/>
      <c r="C162" s="335"/>
      <c r="D162" s="309"/>
      <c r="E162" s="359"/>
      <c r="F162" s="359"/>
      <c r="G162" s="359"/>
      <c r="H162" s="359"/>
      <c r="I162" s="359"/>
      <c r="J162" s="359"/>
      <c r="K162" s="359"/>
      <c r="L162" s="359"/>
      <c r="M162" s="359"/>
      <c r="N162" s="359"/>
      <c r="O162" s="359"/>
      <c r="P162" s="1"/>
      <c r="T162" s="14"/>
      <c r="U162" s="447" t="s">
        <v>399</v>
      </c>
      <c r="V162" s="447"/>
      <c r="W162" s="447"/>
      <c r="X162" s="447"/>
      <c r="Y162" s="447"/>
      <c r="Z162" s="68"/>
      <c r="AA162" s="1"/>
      <c r="AB162" s="1">
        <f>IFERROR(IF('Mon Entreprise'!K8&gt;Annexes!Q24,0,IF(AB148=TRUE,IF(AB153=0,0,IF(AB150&lt;AB153*0.2,ROUND(AB150,0),IF(AB153*0.2&gt;=200000,Annexes!O8,ROUND(AB153*0.2,0)))),IF(AB146="OUI",IF(AB151&gt;=0.7,IF(AB150&lt;AB153*0.2,ROUND(AB150,0),IF(AB153*0.2&gt;=200000,Annexes!O8,ROUND(AB153*0.2,0))),IF(AB151&gt;=0.5,IF(AB150&lt;AB153*0.15,ROUND(AB150,0),IF(AB153*0.15&gt;=200000,Annexes!O8,ROUND(AB153*0.15,0))),IF(AND(AB147="OUI",OR(AB143&gt;=0.8,AB144&gt;=0.8,AB145&gt;=0.1),AB151&gt;=0.7),IF(AB150&lt;AB153*0.2,ROUND(AB150,0),IF(AB153*0.2&gt;=200000,Annexes!O8,ROUND(AB153*0.2,0))),0))),IF(AND(AB147="OUI",OR(AB143&gt;=0.8,AB144&gt;=0.8,AB145&gt;=0.1),AB151&gt;=0.7),IF(AB150&lt;AB153*0.2,ROUND(AB150,0),IF(AB153*0.2&gt;=200000,Annexes!O8,ROUND(AB153*0.2,0))),0)))),0)</f>
        <v>0</v>
      </c>
      <c r="AC162" s="1"/>
      <c r="AD162" s="1"/>
      <c r="AE162" s="13"/>
    </row>
    <row r="163" spans="2:31" ht="16.5" customHeight="1">
      <c r="B163" s="174"/>
      <c r="C163" s="335"/>
      <c r="D163" s="359" t="str">
        <f>IFERROR(IF('Mon Entreprise'!K8&gt;=Annexes!O20,IF(AB126&gt;=AB128,"- Le CA de référence est celui de Décembre 2019, soit une perte de "&amp;ROUND(AB126,0)&amp;" €"&amp;" ==&gt; "&amp;ROUND(AE126*100,0)&amp;" %","- Le CA de référence est celui de la création, soit une perte de "&amp;ROUND(AB128,0)&amp;" €"&amp;" ==&gt; "&amp;ROUND(AE128*100,0)&amp;" %"),IF(AB126&gt;=AB127,"- Le CA de référence est celui de Décembre 2019, soit une perte de "&amp;ROUND(AB126,0)&amp;" €"&amp;" ==&gt; "&amp;ROUND(AE126*100,0)&amp;" %","- Le CA de référence est celui de l'exercice 2019, soit une perte de "&amp;ROUND(AB127,0)&amp;" €"&amp;" ==&gt; "&amp;ROUND(AE127*100,0)&amp;" %")),"")</f>
        <v>- Le CA de référence est celui de Décembre 2019, soit une perte de 0 € ==&gt; 0 %</v>
      </c>
      <c r="E163" s="359"/>
      <c r="F163" s="359"/>
      <c r="G163" s="359"/>
      <c r="H163" s="359"/>
      <c r="I163" s="359"/>
      <c r="J163" s="359"/>
      <c r="K163" s="359"/>
      <c r="L163" s="359"/>
      <c r="M163" s="359"/>
      <c r="N163" s="359"/>
      <c r="O163" s="359"/>
      <c r="P163" s="328"/>
      <c r="Q163" s="328"/>
      <c r="T163" s="14"/>
      <c r="U163" s="1"/>
      <c r="V163" s="1"/>
      <c r="W163" s="1"/>
      <c r="X163" s="1"/>
      <c r="Y163" s="1"/>
      <c r="Z163" s="1"/>
      <c r="AA163" s="1"/>
      <c r="AB163" s="1"/>
      <c r="AC163" s="1"/>
      <c r="AD163" s="1"/>
      <c r="AE163" s="13"/>
    </row>
    <row r="164" spans="2:31" ht="16.5" customHeight="1">
      <c r="B164" s="103"/>
      <c r="C164" s="335"/>
      <c r="D164" s="465" t="str">
        <f>IF(AB148=TRUE,"- L'entreprise peut bénéficier d'une aide de 20 % du CA de référence, plafonnée à 200 000 €",IF(AB146="OUI",IF(AB151&gt;=0.7,"- L'entreprise peut bénéficier d'une aide de 20 % du CA de référence, plafonnée à 200 000 €",IF(AB151&gt;=0.5,"- L'entreprise peut bénéficier d'une aide de 15 % du CA de référence, plafonnée à 200 000 €","- L'entreprise n'a subi ni de fermeture administrative au mois de Décembre, ni de perte d'au moins 50 % de son CA")),IF(AND(AB147="OUI",OR(AB143&gt;=0.8,AB144&gt;=0.8,AB145&gt;=0.1),AB151&gt;=0.7),"- L'entreprise peut bénéficier d'une aide de 20 % du CA de référence, plafonnée à 200 000 €","- L'entreprise ne fait ni partie des fermetures administratives au mois de Décembre, ni des activités mentionnées en annexe 1 (S1) ou en annexe 2 (S1 bis) ou Annexe 3")))</f>
        <v>- L'entreprise ne fait ni partie des fermetures administratives au mois de Décembre, ni des activités mentionnées en annexe 1 (S1) ou en annexe 2 (S1 bis) ou Annexe 3</v>
      </c>
      <c r="E164" s="465"/>
      <c r="F164" s="465"/>
      <c r="G164" s="465"/>
      <c r="H164" s="465"/>
      <c r="I164" s="465"/>
      <c r="J164" s="465"/>
      <c r="K164" s="465"/>
      <c r="L164" s="465"/>
      <c r="M164" s="465"/>
      <c r="N164" s="465"/>
      <c r="O164" s="465"/>
      <c r="P164" s="328"/>
      <c r="Q164" s="328"/>
      <c r="T164" s="14"/>
      <c r="U164" s="1"/>
      <c r="V164" s="1"/>
      <c r="W164" s="1"/>
      <c r="X164" s="1"/>
      <c r="Y164" s="1"/>
      <c r="Z164" s="1"/>
      <c r="AA164" s="1"/>
      <c r="AB164" s="1"/>
      <c r="AC164" s="1"/>
      <c r="AD164" s="1"/>
      <c r="AE164" s="13"/>
    </row>
    <row r="165" spans="2:31" ht="16.5" customHeight="1">
      <c r="B165" s="169"/>
      <c r="C165" s="335"/>
      <c r="D165" s="465"/>
      <c r="E165" s="465"/>
      <c r="F165" s="465"/>
      <c r="G165" s="465"/>
      <c r="H165" s="465"/>
      <c r="I165" s="465"/>
      <c r="J165" s="465"/>
      <c r="K165" s="465"/>
      <c r="L165" s="465"/>
      <c r="M165" s="465"/>
      <c r="N165" s="465"/>
      <c r="O165" s="465"/>
      <c r="P165" s="328"/>
      <c r="Q165" s="328"/>
      <c r="T165" s="14"/>
      <c r="U165" s="1"/>
      <c r="V165" s="1"/>
      <c r="W165" s="1"/>
      <c r="X165" s="1"/>
      <c r="Y165" s="1"/>
      <c r="Z165" s="1"/>
      <c r="AA165" s="1"/>
      <c r="AB165" s="1"/>
      <c r="AC165" s="1"/>
      <c r="AD165" s="1"/>
      <c r="AE165" s="13"/>
    </row>
    <row r="166" spans="2:31" ht="16.5" customHeight="1" thickBot="1">
      <c r="B166" s="169"/>
      <c r="C166" s="335"/>
      <c r="D166" s="206"/>
      <c r="E166" s="328"/>
      <c r="F166" s="328"/>
      <c r="G166" s="328"/>
      <c r="H166" s="328"/>
      <c r="I166" s="328"/>
      <c r="J166" s="328"/>
      <c r="K166" s="328"/>
      <c r="L166" s="328"/>
      <c r="M166" s="328"/>
      <c r="N166" s="328"/>
      <c r="O166" s="328"/>
      <c r="P166" s="328"/>
      <c r="Q166" s="328"/>
      <c r="T166" s="14"/>
      <c r="U166" s="1"/>
      <c r="V166" s="1"/>
      <c r="W166" s="1"/>
      <c r="X166" s="1"/>
      <c r="Y166" s="1"/>
      <c r="Z166" s="1"/>
      <c r="AA166" s="1"/>
      <c r="AB166" s="1"/>
      <c r="AC166" s="1"/>
      <c r="AD166" s="1"/>
      <c r="AE166" s="13"/>
    </row>
    <row r="167" spans="2:31" ht="16.5" customHeight="1">
      <c r="B167" s="103"/>
      <c r="C167" s="181"/>
      <c r="D167" s="468" t="str">
        <f>IFERROR(IF('Mon Entreprise'!K8&gt;Annexes!Q24,"Vous avez débuté votre activité après le 30 Septembre 2020, vous ne pouvez donc pas bénéficier de cette aide",IF(AB148=TRUE,IF(AB153=0,"Vous n'avez pas indiqué de chiffre d'affaires de référence",IF(AB150&lt;AB153*0.2,"Dans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Décembre"))),IF(AB146="OUI",IF(AB151&gt;=0.7,IF(AB150&lt;AB153*0.2,"Dans votre cas, la perte est inférieure à 20 % du CA, l'aide est donc plafonnée à la perte, soit "&amp;ROUND(AB150,0)&amp;" € pour le mois de Décembre",IF(AB153*0.2&gt;=200000,"Dans votre cas, l'aide est plafonnée, à "&amp;Annexes!O8&amp;" € pour le mois de Décembre","Vous pouvez bénéficier, au titre de cette aide, d'un montant de "&amp;ROUND(AB153*0.2,0)&amp;" € pour le mois de Décembre")),IF(AB151&gt;=0.5,IF(AB150&lt;AB153*0.15,"Dans votre cas, la perte est inférieure à 15 % du CA, l'aide est donc plafonnée à la perte, soit "&amp;ROUND(AB150,0)&amp;" € pour le mois de Décembre",IF(AB153*0.15&gt;=200000,"Dans votre cas, l'aide est plafonnée, à "&amp;Annexes!O8&amp;" € pour le mois de Décembre","Vous pouvez bénéficier, au titre de cette aide, d'un montant de "&amp;ROUND(AB153*0.15,0)&amp;" € pour le mois de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Décembre"))),IF(AND(AB147="OUI",OR(AB143&gt;=0.8,AB144&gt;=0.8,AB145&gt;=0.1),AB151&gt;=0.7),IF(AB150&lt;AB153*0.2,"Dans votre cas, la perte est inférieure à 20 % du CA, l'aide est donc plafonnée à la perte, soit "&amp;ROUND(AB150,0)&amp;" € pour le mois de Décembre"&amp;IF(AND(AB147="OUI",AB162&gt;AB161,AB162&gt;AB160)," *",""),IF(AB153*0.2&gt;=200000,"Dans votre cas, l'aide est plafonnée, à "&amp;Annexes!O8&amp;" € pour le mois de Décembre"&amp;IF(AND(AB147="OUI",AB162&gt;AB161,AB162&gt;AB160)," *",""),"Vous pouvez bénéficier, au titre de cette aide, d'un montant de "&amp;ROUND(AB153*0.2,0)&amp;" € pour le mois de Décembre"&amp;IF(AND(AB147="OUI",AB162&gt;AB161,AB162&gt;AB160)," *",""))),"L'entreprise ne fait ni partie des fermetures administratives au mois de Décembre, ni des activités mentionnées en annexe 1 (S1) avec 50 % de perte en Décembre ou en annexe 2 (S1 bis) ou 3 avec 70 % de Perte en Décembre")))),"Vous n'avez pas indiqué de chiffre d'affaires de référence")</f>
        <v>L'entreprise ne fait ni partie des fermetures administratives au mois de Décembre, ni des activités mentionnées en annexe 1 (S1) avec 50 % de perte en Décembre ou en annexe 2 (S1 bis) ou 3 avec 70 % de Perte en Décembre</v>
      </c>
      <c r="E167" s="451"/>
      <c r="F167" s="451"/>
      <c r="G167" s="451"/>
      <c r="H167" s="451"/>
      <c r="I167" s="451"/>
      <c r="J167" s="451"/>
      <c r="K167" s="451"/>
      <c r="L167" s="451"/>
      <c r="M167" s="451"/>
      <c r="N167" s="451"/>
      <c r="O167" s="452"/>
      <c r="P167" s="328"/>
      <c r="Q167" s="328"/>
      <c r="T167" s="14"/>
      <c r="U167" s="1"/>
      <c r="V167" s="1"/>
      <c r="W167" s="1"/>
      <c r="X167" s="1"/>
      <c r="Y167" s="1"/>
      <c r="Z167" s="1"/>
      <c r="AA167" s="1"/>
      <c r="AB167" s="1"/>
      <c r="AC167" s="1"/>
      <c r="AD167" s="1"/>
      <c r="AE167" s="13"/>
    </row>
    <row r="168" spans="2:31" ht="16.5" customHeight="1">
      <c r="B168" s="103"/>
      <c r="C168" s="181"/>
      <c r="D168" s="453"/>
      <c r="E168" s="454"/>
      <c r="F168" s="454"/>
      <c r="G168" s="454"/>
      <c r="H168" s="454"/>
      <c r="I168" s="454"/>
      <c r="J168" s="454"/>
      <c r="K168" s="454"/>
      <c r="L168" s="454"/>
      <c r="M168" s="454"/>
      <c r="N168" s="454"/>
      <c r="O168" s="455"/>
      <c r="P168" s="328"/>
      <c r="Q168" s="328"/>
      <c r="T168" s="14"/>
      <c r="U168" s="1"/>
      <c r="V168" s="1"/>
      <c r="W168" s="1"/>
      <c r="X168" s="1"/>
      <c r="Y168" s="1"/>
      <c r="Z168" s="1"/>
      <c r="AA168" s="1"/>
      <c r="AB168" s="1"/>
      <c r="AC168" s="1"/>
      <c r="AD168" s="1"/>
      <c r="AE168" s="13"/>
    </row>
    <row r="169" spans="2:31" ht="16.5" customHeight="1">
      <c r="B169" s="103"/>
      <c r="C169" s="181"/>
      <c r="D169" s="453"/>
      <c r="E169" s="454"/>
      <c r="F169" s="454"/>
      <c r="G169" s="454"/>
      <c r="H169" s="454"/>
      <c r="I169" s="454"/>
      <c r="J169" s="454"/>
      <c r="K169" s="454"/>
      <c r="L169" s="454"/>
      <c r="M169" s="454"/>
      <c r="N169" s="454"/>
      <c r="O169" s="455"/>
      <c r="P169" s="176"/>
      <c r="Q169" s="176"/>
      <c r="T169" s="14"/>
      <c r="U169" s="1"/>
      <c r="V169" s="1"/>
      <c r="W169" s="1"/>
      <c r="X169" s="1"/>
      <c r="Y169" s="1"/>
      <c r="Z169" s="1"/>
      <c r="AA169" s="1"/>
      <c r="AB169" s="1"/>
      <c r="AC169" s="1"/>
      <c r="AD169" s="1"/>
      <c r="AE169" s="13"/>
    </row>
    <row r="170" spans="2:31" ht="16.5" customHeight="1" thickBot="1">
      <c r="B170" s="103"/>
      <c r="C170" s="181"/>
      <c r="D170" s="456"/>
      <c r="E170" s="457"/>
      <c r="F170" s="457"/>
      <c r="G170" s="457"/>
      <c r="H170" s="457"/>
      <c r="I170" s="457"/>
      <c r="J170" s="457"/>
      <c r="K170" s="457"/>
      <c r="L170" s="457"/>
      <c r="M170" s="457"/>
      <c r="N170" s="457"/>
      <c r="O170" s="458"/>
      <c r="T170" s="14"/>
      <c r="U170" s="1"/>
      <c r="V170" s="1"/>
      <c r="W170" s="1"/>
      <c r="X170" s="1"/>
      <c r="Y170" s="1"/>
      <c r="Z170" s="1"/>
      <c r="AA170" s="1"/>
      <c r="AB170" s="1"/>
      <c r="AC170" s="1"/>
      <c r="AD170" s="1"/>
      <c r="AE170" s="13"/>
    </row>
    <row r="171" spans="2:31" ht="15.75">
      <c r="B171" s="103"/>
      <c r="C171" s="335"/>
      <c r="D171" s="472" t="str">
        <f>IF(AND(AB147="OUI",AB162&gt;AB161,AB162&gt;AB160),"* Le cas échéant, l’aide perçue au titre de l’Art. 3-15 ou 3-16, si elle a déjà été demandée, vient en diminution de la présente aide complémentaire au titre de l'Art. 3-17 ou 3-18 du décret 2021-79 du 28 Janvier 2021","")</f>
        <v/>
      </c>
      <c r="E171" s="472"/>
      <c r="F171" s="472"/>
      <c r="G171" s="472"/>
      <c r="H171" s="472"/>
      <c r="I171" s="472"/>
      <c r="J171" s="472"/>
      <c r="K171" s="472"/>
      <c r="L171" s="472"/>
      <c r="M171" s="472"/>
      <c r="N171" s="472"/>
      <c r="O171" s="472"/>
      <c r="P171" s="177"/>
      <c r="Q171" s="177"/>
      <c r="T171" s="14"/>
      <c r="U171" s="1"/>
      <c r="V171" s="1"/>
      <c r="W171" s="1"/>
      <c r="X171" s="1"/>
      <c r="Y171" s="1"/>
      <c r="Z171" s="1"/>
      <c r="AA171" s="1"/>
      <c r="AB171" s="1"/>
      <c r="AC171" s="1"/>
      <c r="AD171" s="1"/>
      <c r="AE171" s="13"/>
    </row>
    <row r="172" spans="2:31" ht="31.5" customHeight="1">
      <c r="B172" s="5"/>
      <c r="C172" s="5"/>
      <c r="D172" s="339"/>
      <c r="E172" s="339"/>
      <c r="F172" s="339"/>
      <c r="G172" s="339"/>
      <c r="H172" s="339"/>
      <c r="I172" s="339"/>
      <c r="J172" s="339"/>
      <c r="K172" s="339"/>
      <c r="L172" s="339"/>
      <c r="M172" s="339"/>
      <c r="N172" s="339"/>
      <c r="O172" s="339"/>
      <c r="P172" s="178"/>
      <c r="Q172" s="178"/>
      <c r="T172" s="14"/>
      <c r="U172" s="1"/>
      <c r="V172" s="1"/>
      <c r="W172" s="1"/>
      <c r="X172" s="1"/>
      <c r="Y172" s="1"/>
      <c r="Z172" s="1"/>
      <c r="AA172" s="1"/>
      <c r="AB172" s="1"/>
      <c r="AC172" s="1"/>
      <c r="AD172" s="1"/>
      <c r="AE172" s="13"/>
    </row>
    <row r="173" spans="2:31">
      <c r="B173" s="5"/>
      <c r="C173" s="5"/>
      <c r="D173" s="339"/>
      <c r="E173" s="339"/>
      <c r="F173" s="339"/>
      <c r="G173" s="339"/>
      <c r="H173" s="339"/>
      <c r="I173" s="339"/>
      <c r="J173" s="339"/>
      <c r="K173" s="339"/>
      <c r="L173" s="339"/>
      <c r="M173" s="339"/>
      <c r="N173" s="339"/>
      <c r="O173" s="339"/>
      <c r="P173" s="178"/>
      <c r="Q173" s="178"/>
      <c r="T173" s="14"/>
      <c r="U173" s="1"/>
      <c r="V173" s="1"/>
      <c r="W173" s="1"/>
      <c r="X173" s="1"/>
      <c r="Y173" s="1"/>
      <c r="Z173" s="1"/>
      <c r="AA173" s="1"/>
      <c r="AB173" s="1"/>
      <c r="AC173" s="1"/>
      <c r="AD173" s="1"/>
      <c r="AE173" s="13"/>
    </row>
    <row r="174" spans="2:31">
      <c r="B174" s="473">
        <v>2021</v>
      </c>
      <c r="C174" s="473"/>
      <c r="D174" s="473"/>
      <c r="E174" s="473"/>
      <c r="F174" s="473"/>
      <c r="G174" s="473"/>
      <c r="H174" s="473"/>
      <c r="I174" s="473"/>
      <c r="J174" s="473"/>
      <c r="K174" s="473"/>
      <c r="L174" s="473"/>
      <c r="M174" s="473"/>
      <c r="N174" s="473"/>
      <c r="O174" s="473"/>
      <c r="P174" s="178"/>
      <c r="Q174" s="178"/>
      <c r="T174" s="14"/>
      <c r="U174" s="1"/>
      <c r="V174" s="1"/>
      <c r="W174" s="1"/>
      <c r="X174" s="1"/>
      <c r="Y174" s="1"/>
      <c r="Z174" s="1"/>
      <c r="AA174" s="1"/>
      <c r="AB174" s="1"/>
      <c r="AC174" s="1"/>
      <c r="AD174" s="1"/>
      <c r="AE174" s="13"/>
    </row>
    <row r="175" spans="2:31" ht="15.75" thickBot="1">
      <c r="B175" s="474"/>
      <c r="C175" s="474"/>
      <c r="D175" s="474"/>
      <c r="E175" s="474"/>
      <c r="F175" s="474"/>
      <c r="G175" s="474"/>
      <c r="H175" s="474"/>
      <c r="I175" s="474"/>
      <c r="J175" s="474"/>
      <c r="K175" s="474"/>
      <c r="L175" s="474"/>
      <c r="M175" s="474"/>
      <c r="N175" s="474"/>
      <c r="O175" s="474"/>
      <c r="P175" s="178"/>
      <c r="Q175" s="178"/>
      <c r="T175" s="16"/>
      <c r="U175" s="11"/>
      <c r="V175" s="11"/>
      <c r="W175" s="11"/>
      <c r="X175" s="11"/>
      <c r="Y175" s="11"/>
      <c r="Z175" s="11"/>
      <c r="AA175" s="11"/>
      <c r="AB175" s="11"/>
      <c r="AC175" s="11"/>
      <c r="AD175" s="11"/>
      <c r="AE175" s="12"/>
    </row>
    <row r="176" spans="2:31">
      <c r="D176" s="178"/>
      <c r="E176" s="178"/>
      <c r="F176" s="178"/>
      <c r="G176" s="178"/>
      <c r="H176" s="178"/>
      <c r="I176" s="178"/>
      <c r="J176" s="178"/>
      <c r="K176" s="178"/>
      <c r="L176" s="178"/>
      <c r="M176" s="178"/>
      <c r="N176" s="178"/>
      <c r="O176" s="178"/>
      <c r="P176" s="176"/>
      <c r="Q176" s="176"/>
      <c r="T176" s="14"/>
      <c r="U176" s="1"/>
      <c r="V176" s="1"/>
      <c r="W176" s="1"/>
      <c r="X176" s="1"/>
      <c r="Y176" s="1"/>
      <c r="Z176" s="1"/>
      <c r="AA176" s="1"/>
      <c r="AB176" s="1"/>
      <c r="AC176" s="1"/>
      <c r="AD176" s="1"/>
      <c r="AE176" s="13"/>
    </row>
    <row r="177" spans="2:31">
      <c r="D177" s="178"/>
      <c r="E177" s="178"/>
      <c r="F177" s="178"/>
      <c r="G177" s="178"/>
      <c r="H177" s="178"/>
      <c r="I177" s="178"/>
      <c r="J177" s="178"/>
      <c r="K177" s="178"/>
      <c r="L177" s="178"/>
      <c r="M177" s="178"/>
      <c r="N177" s="178"/>
      <c r="O177" s="178"/>
      <c r="P177" s="176"/>
      <c r="Q177" s="176"/>
      <c r="T177" s="25"/>
      <c r="U177" s="435" t="s">
        <v>20</v>
      </c>
      <c r="V177" s="435"/>
      <c r="W177" s="435"/>
      <c r="X177" s="1"/>
      <c r="Y177" s="338" t="s">
        <v>6</v>
      </c>
      <c r="Z177" s="338"/>
      <c r="AA177" s="338"/>
      <c r="AB177" s="338" t="s">
        <v>23</v>
      </c>
      <c r="AC177" s="338"/>
      <c r="AD177" s="338"/>
      <c r="AE177" s="26" t="s">
        <v>24</v>
      </c>
    </row>
    <row r="178" spans="2:31" ht="16.5" thickBot="1">
      <c r="B178" s="221"/>
      <c r="C178" s="433" t="s">
        <v>119</v>
      </c>
      <c r="D178" s="433"/>
      <c r="E178" s="433"/>
      <c r="F178" s="433"/>
      <c r="G178" s="433"/>
      <c r="H178" s="433"/>
      <c r="I178" s="222"/>
      <c r="J178" s="222"/>
      <c r="K178" s="222"/>
      <c r="L178" s="222"/>
      <c r="M178" s="222"/>
      <c r="N178" s="222"/>
      <c r="O178" s="222"/>
      <c r="T178" s="25"/>
      <c r="U178" s="338"/>
      <c r="V178" s="338"/>
      <c r="W178" s="338"/>
      <c r="X178" s="1"/>
      <c r="Y178" s="338"/>
      <c r="Z178" s="338"/>
      <c r="AA178" s="338"/>
      <c r="AB178" s="338"/>
      <c r="AC178" s="338"/>
      <c r="AD178" s="338"/>
      <c r="AE178" s="26"/>
    </row>
    <row r="179" spans="2:31" ht="15" customHeight="1">
      <c r="B179" s="63"/>
      <c r="C179" s="24"/>
      <c r="D179" s="24"/>
      <c r="E179" s="24"/>
      <c r="F179" s="24"/>
      <c r="G179" s="24"/>
      <c r="H179" s="63"/>
      <c r="I179" s="1"/>
      <c r="J179" s="1"/>
      <c r="K179" s="1"/>
      <c r="L179" s="1"/>
      <c r="M179" s="1"/>
      <c r="N179" s="1"/>
      <c r="O179" s="1"/>
      <c r="T179" s="436" t="s">
        <v>121</v>
      </c>
      <c r="U179" s="435"/>
      <c r="V179" s="435"/>
      <c r="W179" s="435"/>
      <c r="X179" s="1"/>
      <c r="Y179" s="7">
        <f>'Mon Entreprise'!I97</f>
        <v>0</v>
      </c>
      <c r="Z179" s="133"/>
      <c r="AA179" s="21"/>
      <c r="AB179" s="7">
        <f>IF('Mon Entreprise'!I97-'Mon Entreprise'!M97&lt;0,0,'Mon Entreprise'!I97-'Mon Entreprise'!M97)</f>
        <v>0</v>
      </c>
      <c r="AC179" s="13"/>
      <c r="AD179" s="1"/>
      <c r="AE179" s="27">
        <f>IFERROR(1-'Mon Entreprise'!M97/'Mon Entreprise'!I97,0)</f>
        <v>0</v>
      </c>
    </row>
    <row r="180" spans="2:31" ht="15" customHeight="1">
      <c r="B180" s="103"/>
      <c r="C180" s="434" t="s">
        <v>122</v>
      </c>
      <c r="D180" s="434"/>
      <c r="E180" s="434"/>
      <c r="F180" s="434"/>
      <c r="G180" s="434"/>
      <c r="H180" s="434"/>
      <c r="I180" s="434"/>
      <c r="J180" s="434"/>
      <c r="K180" s="434"/>
      <c r="L180" s="434"/>
      <c r="M180" s="434"/>
      <c r="N180" s="434"/>
      <c r="O180" s="434"/>
      <c r="P180" s="1"/>
      <c r="T180" s="436" t="s">
        <v>25</v>
      </c>
      <c r="U180" s="435"/>
      <c r="V180" s="435"/>
      <c r="W180" s="435"/>
      <c r="X180" s="1"/>
      <c r="Y180" s="7">
        <f>'Mon Entreprise'!I73</f>
        <v>0</v>
      </c>
      <c r="Z180" s="133"/>
      <c r="AA180" s="21"/>
      <c r="AB180" s="7">
        <f>IF('Mon Entreprise'!I73-'Mon Entreprise'!M97&lt;0,0,'Mon Entreprise'!I73-'Mon Entreprise'!M97)</f>
        <v>0</v>
      </c>
      <c r="AC180" s="36"/>
      <c r="AD180" s="1"/>
      <c r="AE180" s="27">
        <f>IFERROR(1-'Mon Entreprise'!M97/'Mon Entreprise'!I73,0)</f>
        <v>0</v>
      </c>
    </row>
    <row r="181" spans="2:31" ht="15.75" customHeight="1">
      <c r="B181" s="103"/>
      <c r="C181" s="335"/>
      <c r="D181" s="60" t="s">
        <v>123</v>
      </c>
      <c r="E181" s="335"/>
      <c r="F181" s="335"/>
      <c r="G181" s="335"/>
      <c r="H181" s="335"/>
      <c r="I181" s="335"/>
      <c r="J181" s="335"/>
      <c r="K181" s="335"/>
      <c r="L181" s="335"/>
      <c r="M181" s="335"/>
      <c r="N181" s="335"/>
      <c r="O181" s="335"/>
      <c r="P181" s="1"/>
      <c r="T181" s="446" t="s">
        <v>22</v>
      </c>
      <c r="U181" s="447"/>
      <c r="V181" s="447"/>
      <c r="W181" s="447"/>
      <c r="X181" s="139"/>
      <c r="Y181" s="140" t="str">
        <f>IF('Mon Entreprise'!I125="","NC",'Mon Entreprise'!I125)</f>
        <v>NC</v>
      </c>
      <c r="Z181" s="192"/>
      <c r="AA181" s="193"/>
      <c r="AB181" s="143" t="str">
        <f>IFERROR(IF('Mon Entreprise'!I125-'Mon Entreprise'!M97&lt;0,0,'Mon Entreprise'!I125-'Mon Entreprise'!M97),"NC")</f>
        <v>NC</v>
      </c>
      <c r="AC181" s="194"/>
      <c r="AD181" s="139"/>
      <c r="AE181" s="146" t="str">
        <f>IFERROR(1-'Mon Entreprise'!M97/'Mon Entreprise'!I125,"NC")</f>
        <v>NC</v>
      </c>
    </row>
    <row r="182" spans="2:31" ht="15.75" hidden="1">
      <c r="B182" s="103"/>
      <c r="C182" s="335"/>
      <c r="D182" s="60"/>
      <c r="E182" s="335"/>
      <c r="F182" s="335"/>
      <c r="G182" s="335"/>
      <c r="H182" s="335"/>
      <c r="I182" s="335"/>
      <c r="J182" s="335"/>
      <c r="K182" s="335"/>
      <c r="L182" s="335"/>
      <c r="M182" s="335"/>
      <c r="N182" s="335"/>
      <c r="O182" s="335"/>
      <c r="P182" s="1"/>
      <c r="T182" s="14"/>
      <c r="U182" s="1"/>
      <c r="V182" s="1"/>
      <c r="W182" s="1"/>
      <c r="X182" s="1"/>
      <c r="Y182" s="1"/>
      <c r="Z182" s="1"/>
      <c r="AA182" s="1"/>
      <c r="AB182" s="1"/>
      <c r="AC182" s="1"/>
      <c r="AD182" s="1"/>
      <c r="AE182" s="13"/>
    </row>
    <row r="183" spans="2:31" ht="15.75" hidden="1">
      <c r="B183" s="103"/>
      <c r="C183" s="335"/>
      <c r="D183" s="437" t="str">
        <f>IFERROR(IF(AND(AB214=0,AB215=0,AB216=0),"Vous ne pouvez pas bénéficier du fonds de solidarité pour le mois de Janvier 2021",IF(AND(AB216&gt;AB215,AB216&gt;AB214),"Votre entreprise peut bénéficier d'une aide de "&amp;AB216&amp;" €, au titre d'une fermeture Administrative, ou d'une perte d'au moins 50 % ou 70 % du CA pour les activités mentionnées en annexe 1, ou d'une perte d'au moins 70 % du CA pour les activités mentionnées en annexe 2 ou 3",IF(AB215&gt;AB214,"Votre entreprise peut bénéficier d'une aide de "&amp;AB215&amp;" €, au titre d'une fermeture Administrative, ou d'une perte d'au moins 50 % du CA pour les activités mentionnées en annexe 1, ou en annexe 2 ou 3 ayant une perte de CA d'au moins 80 % entre le 15/03/2020 et le 15/05/2020, au moins de Novembre 2020 "&amp;"ou 10 % de perte entre 2019 et 2020","Votre entreprise peut bénéficier d'une aide de "&amp;AB214&amp;" €, au titre d'une perte d'au-moins 50 % de votre CA en Janvier 2021"))),"Vous n'avez pas indiqué de chiffre d'affaires de référence")</f>
        <v>Vous ne pouvez pas bénéficier du fonds de solidarité pour le mois de Janvier 2021</v>
      </c>
      <c r="E183" s="438"/>
      <c r="F183" s="438"/>
      <c r="G183" s="438"/>
      <c r="H183" s="438"/>
      <c r="I183" s="438"/>
      <c r="J183" s="438"/>
      <c r="K183" s="438"/>
      <c r="L183" s="438"/>
      <c r="M183" s="438"/>
      <c r="N183" s="438"/>
      <c r="O183" s="439"/>
      <c r="P183" s="1"/>
      <c r="T183" s="14"/>
      <c r="AC183" s="1"/>
      <c r="AD183" s="1"/>
      <c r="AE183" s="13"/>
    </row>
    <row r="184" spans="2:31" ht="15.75" hidden="1" customHeight="1">
      <c r="B184" s="103"/>
      <c r="C184" s="335"/>
      <c r="D184" s="440"/>
      <c r="E184" s="441"/>
      <c r="F184" s="441"/>
      <c r="G184" s="441"/>
      <c r="H184" s="441"/>
      <c r="I184" s="441"/>
      <c r="J184" s="441"/>
      <c r="K184" s="441"/>
      <c r="L184" s="441"/>
      <c r="M184" s="441"/>
      <c r="N184" s="441"/>
      <c r="O184" s="442"/>
      <c r="P184" s="1"/>
      <c r="T184" s="14"/>
      <c r="AC184" s="1"/>
      <c r="AD184" s="1"/>
      <c r="AE184" s="13"/>
    </row>
    <row r="185" spans="2:31" ht="15.75" hidden="1" customHeight="1">
      <c r="B185" s="103"/>
      <c r="C185" s="335"/>
      <c r="D185" s="440"/>
      <c r="E185" s="441"/>
      <c r="F185" s="441"/>
      <c r="G185" s="441"/>
      <c r="H185" s="441"/>
      <c r="I185" s="441"/>
      <c r="J185" s="441"/>
      <c r="K185" s="441"/>
      <c r="L185" s="441"/>
      <c r="M185" s="441"/>
      <c r="N185" s="441"/>
      <c r="O185" s="442"/>
      <c r="P185" s="1"/>
      <c r="T185" s="14"/>
      <c r="AC185" s="1"/>
      <c r="AD185" s="1"/>
      <c r="AE185" s="13"/>
    </row>
    <row r="186" spans="2:31" ht="15.75" hidden="1" customHeight="1">
      <c r="B186" s="103"/>
      <c r="C186" s="335"/>
      <c r="D186" s="440"/>
      <c r="E186" s="441"/>
      <c r="F186" s="441"/>
      <c r="G186" s="441"/>
      <c r="H186" s="441"/>
      <c r="I186" s="441"/>
      <c r="J186" s="441"/>
      <c r="K186" s="441"/>
      <c r="L186" s="441"/>
      <c r="M186" s="441"/>
      <c r="N186" s="441"/>
      <c r="O186" s="442"/>
      <c r="P186" s="1"/>
      <c r="T186" s="14"/>
      <c r="U186" s="1"/>
      <c r="V186" s="1"/>
      <c r="W186" s="1"/>
      <c r="X186" s="1"/>
      <c r="Y186" s="1"/>
      <c r="Z186" s="1"/>
      <c r="AA186" s="1"/>
      <c r="AB186" s="1"/>
      <c r="AC186" s="1"/>
      <c r="AD186" s="1"/>
      <c r="AE186" s="13"/>
    </row>
    <row r="187" spans="2:31" ht="15.75" hidden="1" customHeight="1" thickBot="1">
      <c r="B187" s="103"/>
      <c r="C187" s="335"/>
      <c r="D187" s="443"/>
      <c r="E187" s="444"/>
      <c r="F187" s="444"/>
      <c r="G187" s="444"/>
      <c r="H187" s="444"/>
      <c r="I187" s="444"/>
      <c r="J187" s="444"/>
      <c r="K187" s="444"/>
      <c r="L187" s="444"/>
      <c r="M187" s="444"/>
      <c r="N187" s="444"/>
      <c r="O187" s="445"/>
      <c r="P187" s="1"/>
      <c r="T187" s="14"/>
      <c r="U187" s="448" t="s">
        <v>72</v>
      </c>
      <c r="V187" s="448"/>
      <c r="W187" s="448"/>
      <c r="X187" s="448"/>
      <c r="Y187" s="448"/>
      <c r="Z187" s="1"/>
      <c r="AA187" s="14"/>
      <c r="AB187" s="332" t="str">
        <f>IF('Mon Entreprise'!K8&lt;=Annexes!Q26,"Oui","Non")</f>
        <v>Oui</v>
      </c>
      <c r="AC187" s="1"/>
      <c r="AD187" s="1"/>
      <c r="AE187" s="13"/>
    </row>
    <row r="188" spans="2:31" ht="16.5" hidden="1" customHeight="1">
      <c r="B188" s="103"/>
      <c r="C188" s="335"/>
      <c r="D188" s="60"/>
      <c r="E188" s="335"/>
      <c r="F188" s="335"/>
      <c r="G188" s="335"/>
      <c r="H188" s="335"/>
      <c r="I188" s="335"/>
      <c r="J188" s="335"/>
      <c r="K188" s="335"/>
      <c r="L188" s="335"/>
      <c r="M188" s="335"/>
      <c r="N188" s="335"/>
      <c r="O188" s="335"/>
      <c r="P188" s="1"/>
      <c r="T188" s="14"/>
      <c r="U188" s="330"/>
      <c r="V188" s="448" t="s">
        <v>393</v>
      </c>
      <c r="W188" s="448"/>
      <c r="X188" s="448"/>
      <c r="Y188" s="448"/>
      <c r="Z188" s="1"/>
      <c r="AA188" s="14"/>
      <c r="AB188" s="332">
        <f>IF('Mon Entreprise'!K8&gt;=Annexes!O20,IF(Y179&gt;=Y181,Y179,Y181),IF(Y179&gt;=Y180,Y179,Y180))</f>
        <v>0</v>
      </c>
      <c r="AC188" s="1"/>
      <c r="AD188" s="1"/>
      <c r="AE188" s="13"/>
    </row>
    <row r="189" spans="2:31" ht="15.75">
      <c r="B189" s="103"/>
      <c r="C189" s="78"/>
      <c r="D189" s="78"/>
      <c r="E189" s="78"/>
      <c r="F189" s="78"/>
      <c r="G189" s="78"/>
      <c r="H189" s="78"/>
      <c r="I189" s="78"/>
      <c r="J189" s="78"/>
      <c r="K189" s="78"/>
      <c r="L189" s="78"/>
      <c r="M189" s="78"/>
      <c r="N189" s="78"/>
      <c r="O189" s="78"/>
      <c r="P189" s="1"/>
      <c r="T189" s="14"/>
      <c r="U189" s="448" t="s">
        <v>84</v>
      </c>
      <c r="V189" s="448"/>
      <c r="W189" s="448"/>
      <c r="X189" s="448"/>
      <c r="Y189" s="448"/>
      <c r="Z189" s="1"/>
      <c r="AA189" s="14"/>
      <c r="AB189" s="333">
        <f>IF('Mon Entreprise'!K8&gt;=Annexes!O20,IF(AB179&gt;=AB181,AB179,AB181),IF(AB179&gt;=AB180,AB179,AB180))</f>
        <v>0</v>
      </c>
      <c r="AC189" s="1"/>
      <c r="AD189" s="1"/>
      <c r="AE189" s="13"/>
    </row>
    <row r="190" spans="2:31" ht="15.75">
      <c r="B190" s="103"/>
      <c r="C190" s="335"/>
      <c r="D190" s="60"/>
      <c r="E190" s="335"/>
      <c r="F190" s="335"/>
      <c r="G190" s="335"/>
      <c r="H190" s="335"/>
      <c r="I190" s="335"/>
      <c r="J190" s="335"/>
      <c r="K190" s="335"/>
      <c r="L190" s="335"/>
      <c r="M190" s="335"/>
      <c r="N190" s="335"/>
      <c r="O190" s="335"/>
      <c r="P190" s="1"/>
      <c r="T190" s="14"/>
      <c r="U190" s="448" t="s">
        <v>85</v>
      </c>
      <c r="V190" s="448"/>
      <c r="W190" s="448"/>
      <c r="X190" s="448"/>
      <c r="Y190" s="448"/>
      <c r="Z190" s="1"/>
      <c r="AA190" s="14"/>
      <c r="AB190" s="19">
        <f>IF('Mon Entreprise'!K8&gt;=Annexes!O20,IF(AB179&gt;=AB181,AE179,AE181),IF(AB179&gt;=AB180,AE179,AE180))</f>
        <v>0</v>
      </c>
      <c r="AC190" s="1"/>
      <c r="AD190" s="1"/>
      <c r="AE190" s="13"/>
    </row>
    <row r="191" spans="2:31" ht="15.75">
      <c r="B191" s="103"/>
      <c r="C191" s="335" t="s">
        <v>120</v>
      </c>
      <c r="D191" s="60"/>
      <c r="E191" s="335"/>
      <c r="F191" s="335"/>
      <c r="G191" s="335"/>
      <c r="H191" s="335"/>
      <c r="I191" s="335"/>
      <c r="J191" s="335"/>
      <c r="K191" s="335"/>
      <c r="L191" s="335"/>
      <c r="M191" s="335"/>
      <c r="N191" s="335"/>
      <c r="O191" s="335"/>
      <c r="P191" s="1"/>
      <c r="T191" s="14"/>
      <c r="U191" s="1"/>
      <c r="V191" s="1"/>
      <c r="W191" s="1"/>
      <c r="X191" s="1"/>
      <c r="Y191" s="1"/>
      <c r="Z191" s="1"/>
      <c r="AA191" s="1"/>
      <c r="AB191" s="1"/>
      <c r="AC191" s="1"/>
      <c r="AD191" s="1"/>
      <c r="AE191" s="13"/>
    </row>
    <row r="192" spans="2:31" ht="15.75">
      <c r="B192" s="169"/>
      <c r="C192" s="335"/>
      <c r="D192" s="60" t="str">
        <f>IFERROR(IF('Mon Entreprise'!K8&gt;=Annexes!O20,IF(AB179&gt;=AB181,"Le CA de référence est celui de Janvier 2019, soit une perte de "&amp;ROUND(AB179,0)&amp;" €"&amp;" ==&gt; "&amp;ROUND(AE179*100,0)&amp;" %","Le CA de référence est celui de la création, soit une perte de "&amp;ROUND(AB181,0)&amp;" €"&amp;" ==&gt; "&amp;ROUND(AE181*100,0)&amp;" %"),IF(AB179&gt;=AB180,"Le CA de référence est celui de Janvier 2019, soit une perte de "&amp;ROUND(AB179,0)&amp;" €"&amp;" ==&gt; "&amp;ROUND(AE179*100,0)&amp;" %","Le CA de référence est celui de de l'exercice 2019, soit une perte de "&amp;ROUND(AB180,0)&amp;" €"&amp;" ==&gt; "&amp;ROUND(AE180*100,0)&amp;" %")),"")</f>
        <v>Le CA de référence est celui de Janvier 2019, soit une perte de 0 € ==&gt; 0 %</v>
      </c>
      <c r="E192" s="335"/>
      <c r="F192" s="335"/>
      <c r="G192" s="335"/>
      <c r="H192" s="335"/>
      <c r="I192" s="335"/>
      <c r="J192" s="335"/>
      <c r="K192" s="335"/>
      <c r="L192" s="335"/>
      <c r="M192" s="335"/>
      <c r="N192" s="335"/>
      <c r="O192" s="335"/>
      <c r="P192" s="1"/>
      <c r="T192" s="14"/>
      <c r="U192" s="1"/>
      <c r="V192" s="1"/>
      <c r="W192" s="1"/>
      <c r="X192" s="1"/>
      <c r="Y192" s="1"/>
      <c r="Z192" s="1"/>
      <c r="AA192" s="1"/>
      <c r="AB192" s="1"/>
      <c r="AC192" s="1"/>
      <c r="AD192" s="1"/>
      <c r="AE192" s="13"/>
    </row>
    <row r="193" spans="1:31" ht="16.5" thickBot="1">
      <c r="B193" s="103"/>
      <c r="C193" s="335"/>
      <c r="D193" s="60"/>
      <c r="E193" s="335"/>
      <c r="F193" s="335"/>
      <c r="G193" s="335"/>
      <c r="H193" s="335"/>
      <c r="I193" s="335"/>
      <c r="J193" s="335"/>
      <c r="K193" s="335"/>
      <c r="L193" s="335"/>
      <c r="M193" s="335"/>
      <c r="N193" s="335"/>
      <c r="O193" s="335"/>
      <c r="P193" s="1"/>
      <c r="T193" s="14"/>
      <c r="U193" s="1"/>
      <c r="V193" s="1"/>
      <c r="W193" s="1"/>
      <c r="X193" s="1"/>
      <c r="Y193" s="1"/>
      <c r="Z193" s="1"/>
      <c r="AA193" s="1"/>
      <c r="AB193" s="1"/>
      <c r="AC193" s="1"/>
      <c r="AD193" s="1"/>
      <c r="AE193" s="13"/>
    </row>
    <row r="194" spans="1:31" ht="15.75">
      <c r="B194" s="169"/>
      <c r="C194" s="335"/>
      <c r="D194" s="450" t="str">
        <f>IFERROR(IF(AB187="Non","Vous avez débuté votre activité après le 31 Octobre 2020, vous ne pouvez donc pas bénéficier de cette aide",IF(AB190&gt;=0.5,IF(AB189&gt;Annexes!O5,"Dans votre cas, l'aide est Plafonnée, à "&amp;Annexes!O5&amp;" € pour le mois de Janvier","Vous pouvez bénéficier, au titre de cette aide, d'un montant de "&amp;ROUND(AB189,0)&amp;" € pour le mois de Janvier"),"L'entreprise n'a pas une perte d'au moins 50 % en Janvier 2021")),"Vous n'avez pas indiqué de chiffre d'affaires de référence")</f>
        <v>L'entreprise n'a pas une perte d'au moins 50 % en Janvier 2021</v>
      </c>
      <c r="E194" s="451"/>
      <c r="F194" s="451"/>
      <c r="G194" s="451"/>
      <c r="H194" s="451"/>
      <c r="I194" s="451"/>
      <c r="J194" s="451"/>
      <c r="K194" s="451"/>
      <c r="L194" s="451"/>
      <c r="M194" s="451"/>
      <c r="N194" s="451"/>
      <c r="O194" s="452"/>
      <c r="P194" s="1"/>
      <c r="T194" s="14"/>
      <c r="U194" s="1"/>
      <c r="V194" s="1"/>
      <c r="W194" s="1"/>
      <c r="X194" s="1"/>
      <c r="Y194" s="1"/>
      <c r="Z194" s="1"/>
      <c r="AA194" s="1"/>
      <c r="AB194" s="1"/>
      <c r="AC194" s="1"/>
      <c r="AD194" s="1"/>
      <c r="AE194" s="13"/>
    </row>
    <row r="195" spans="1:31" ht="15.75" customHeight="1">
      <c r="B195" s="169"/>
      <c r="C195" s="335"/>
      <c r="D195" s="453"/>
      <c r="E195" s="454"/>
      <c r="F195" s="454"/>
      <c r="G195" s="454"/>
      <c r="H195" s="454"/>
      <c r="I195" s="454"/>
      <c r="J195" s="454"/>
      <c r="K195" s="454"/>
      <c r="L195" s="454"/>
      <c r="M195" s="454"/>
      <c r="N195" s="454"/>
      <c r="O195" s="455"/>
      <c r="P195" s="1"/>
      <c r="T195" s="14"/>
      <c r="U195" s="1"/>
      <c r="V195" s="1"/>
      <c r="W195" s="1"/>
      <c r="X195" s="1"/>
      <c r="Y195" s="1"/>
      <c r="Z195" s="1"/>
      <c r="AA195" s="1"/>
      <c r="AB195" s="1"/>
      <c r="AC195" s="1"/>
      <c r="AD195" s="1"/>
      <c r="AE195" s="13"/>
    </row>
    <row r="196" spans="1:31" ht="15.75" customHeight="1">
      <c r="B196" s="103"/>
      <c r="C196" s="335"/>
      <c r="D196" s="453"/>
      <c r="E196" s="454"/>
      <c r="F196" s="454"/>
      <c r="G196" s="454"/>
      <c r="H196" s="454"/>
      <c r="I196" s="454"/>
      <c r="J196" s="454"/>
      <c r="K196" s="454"/>
      <c r="L196" s="454"/>
      <c r="M196" s="454"/>
      <c r="N196" s="454"/>
      <c r="O196" s="455"/>
      <c r="P196" s="1"/>
      <c r="T196" s="460" t="s">
        <v>4</v>
      </c>
      <c r="U196" s="461"/>
      <c r="V196" s="461"/>
      <c r="W196" s="461"/>
      <c r="X196" s="461"/>
      <c r="Y196" s="461"/>
      <c r="Z196" s="139"/>
      <c r="AA196" s="145"/>
      <c r="AB196" s="195">
        <f>IFERROR(IF('Mon Entreprise'!K8&gt;=Annexes!Q18,0,1-'Mon Entreprise'!M93/2/AB188),0)</f>
        <v>0</v>
      </c>
      <c r="AC196" s="1"/>
      <c r="AD196" s="1"/>
      <c r="AE196" s="13"/>
    </row>
    <row r="197" spans="1:31" ht="15.75" customHeight="1" thickBot="1">
      <c r="B197" s="103"/>
      <c r="C197" s="335"/>
      <c r="D197" s="456"/>
      <c r="E197" s="457"/>
      <c r="F197" s="457"/>
      <c r="G197" s="457"/>
      <c r="H197" s="457"/>
      <c r="I197" s="457"/>
      <c r="J197" s="457"/>
      <c r="K197" s="457"/>
      <c r="L197" s="457"/>
      <c r="M197" s="457"/>
      <c r="N197" s="457"/>
      <c r="O197" s="458"/>
      <c r="P197" s="1"/>
      <c r="T197" s="110"/>
      <c r="U197" s="462" t="s">
        <v>102</v>
      </c>
      <c r="V197" s="462"/>
      <c r="W197" s="462"/>
      <c r="X197" s="462"/>
      <c r="Y197" s="462"/>
      <c r="Z197" s="139"/>
      <c r="AA197" s="145"/>
      <c r="AB197" s="195">
        <f>IFERROR(IF('Mon Entreprise'!K8&gt;Annexes!Q26,0,1-'Mon Entreprise'!M89/AB188),0)</f>
        <v>0</v>
      </c>
      <c r="AC197" s="1"/>
      <c r="AD197" s="1"/>
      <c r="AE197" s="13"/>
    </row>
    <row r="198" spans="1:31" ht="16.5" customHeight="1">
      <c r="B198" s="103"/>
      <c r="C198" s="170"/>
      <c r="D198" s="171"/>
      <c r="E198" s="171"/>
      <c r="F198" s="171"/>
      <c r="G198" s="171"/>
      <c r="H198" s="171"/>
      <c r="I198" s="171"/>
      <c r="J198" s="171"/>
      <c r="K198" s="171"/>
      <c r="L198" s="171"/>
      <c r="M198" s="171"/>
      <c r="N198" s="171"/>
      <c r="O198" s="171"/>
      <c r="P198" s="1"/>
      <c r="T198" s="110"/>
      <c r="U198" s="462" t="s">
        <v>109</v>
      </c>
      <c r="V198" s="462"/>
      <c r="W198" s="462"/>
      <c r="X198" s="462"/>
      <c r="Y198" s="462"/>
      <c r="Z198" s="139"/>
      <c r="AA198" s="145"/>
      <c r="AB198" s="195">
        <f>IFERROR(IF(Annexes!O27&gt;'Mon Entreprise'!K8,1-'Mon Entreprise'!M73/'Mon Entreprise'!I73,0),0)</f>
        <v>0</v>
      </c>
      <c r="AC198" s="1"/>
      <c r="AD198" s="1"/>
      <c r="AE198" s="13"/>
    </row>
    <row r="199" spans="1:31" ht="16.5" customHeight="1">
      <c r="B199" s="103"/>
      <c r="C199" s="335"/>
      <c r="D199" s="309"/>
      <c r="E199" s="309"/>
      <c r="F199" s="309"/>
      <c r="G199" s="309"/>
      <c r="H199" s="309"/>
      <c r="I199" s="309"/>
      <c r="J199" s="309"/>
      <c r="K199" s="309"/>
      <c r="L199" s="309"/>
      <c r="M199" s="309"/>
      <c r="N199" s="309"/>
      <c r="O199" s="309"/>
      <c r="P199" s="1"/>
      <c r="T199" s="14"/>
      <c r="U199" s="464" t="s">
        <v>8</v>
      </c>
      <c r="V199" s="464"/>
      <c r="W199" s="464"/>
      <c r="X199" s="464"/>
      <c r="Y199" s="464"/>
      <c r="Z199" s="1"/>
      <c r="AA199" s="14"/>
      <c r="AB199" s="333" t="str">
        <f>IF((AND(Annexes!F5&gt;1,Annexes!F5&lt;=Annexes!H6)),"OUI","NON")</f>
        <v>NON</v>
      </c>
      <c r="AC199" s="1"/>
      <c r="AD199" s="1"/>
      <c r="AE199" s="13"/>
    </row>
    <row r="200" spans="1:31" ht="16.5" customHeight="1">
      <c r="B200" s="103"/>
      <c r="C200" s="463" t="s">
        <v>112</v>
      </c>
      <c r="D200" s="463"/>
      <c r="E200" s="463"/>
      <c r="F200" s="463"/>
      <c r="G200" s="463"/>
      <c r="H200" s="463"/>
      <c r="I200" s="463"/>
      <c r="J200" s="463"/>
      <c r="K200" s="463"/>
      <c r="L200" s="463"/>
      <c r="M200" s="463"/>
      <c r="N200" s="463"/>
      <c r="O200" s="463"/>
      <c r="P200" s="1"/>
      <c r="T200" s="14"/>
      <c r="U200" s="337"/>
      <c r="V200" s="337"/>
      <c r="W200" s="337"/>
      <c r="X200" s="337"/>
      <c r="Y200" s="337" t="s">
        <v>9</v>
      </c>
      <c r="Z200" s="1"/>
      <c r="AA200" s="14"/>
      <c r="AB200" s="333" t="str">
        <f>IF(AND(Annexes!F7&gt;1,Annexes!F7&lt;=Annexes!H8),"OUI","NON")</f>
        <v>NON</v>
      </c>
      <c r="AC200" s="1"/>
      <c r="AD200" s="1"/>
      <c r="AE200" s="13"/>
    </row>
    <row r="201" spans="1:31" ht="16.5" customHeight="1">
      <c r="B201" s="103"/>
      <c r="C201" s="463"/>
      <c r="D201" s="463"/>
      <c r="E201" s="463"/>
      <c r="F201" s="463"/>
      <c r="G201" s="463"/>
      <c r="H201" s="463"/>
      <c r="I201" s="463"/>
      <c r="J201" s="463"/>
      <c r="K201" s="463"/>
      <c r="L201" s="463"/>
      <c r="M201" s="463"/>
      <c r="N201" s="463"/>
      <c r="O201" s="463"/>
      <c r="P201" s="1"/>
      <c r="T201" s="436" t="s">
        <v>305</v>
      </c>
      <c r="U201" s="435"/>
      <c r="V201" s="435"/>
      <c r="W201" s="435"/>
      <c r="X201" s="435"/>
      <c r="Y201" s="435"/>
      <c r="Z201" s="1"/>
      <c r="AA201" s="14"/>
      <c r="AB201" s="333" t="str">
        <f>IF(Annexes!M17=TRUE,"OUI","NON")</f>
        <v>NON</v>
      </c>
      <c r="AC201" s="1"/>
      <c r="AD201" s="1"/>
      <c r="AE201" s="13"/>
    </row>
    <row r="202" spans="1:31" ht="16.5" customHeight="1">
      <c r="B202" s="103"/>
      <c r="C202" s="463"/>
      <c r="D202" s="463"/>
      <c r="E202" s="463"/>
      <c r="F202" s="463"/>
      <c r="G202" s="463"/>
      <c r="H202" s="463"/>
      <c r="I202" s="463"/>
      <c r="J202" s="463"/>
      <c r="K202" s="463"/>
      <c r="L202" s="463"/>
      <c r="M202" s="463"/>
      <c r="N202" s="463"/>
      <c r="O202" s="463"/>
      <c r="P202" s="1"/>
      <c r="T202" s="14"/>
      <c r="U202" s="435" t="s">
        <v>12</v>
      </c>
      <c r="V202" s="435"/>
      <c r="W202" s="435"/>
      <c r="X202" s="435"/>
      <c r="Y202" s="435"/>
      <c r="Z202" s="1"/>
      <c r="AA202" s="14"/>
      <c r="AB202" s="333" t="b">
        <f>Annexes!M19</f>
        <v>0</v>
      </c>
      <c r="AC202" s="1"/>
      <c r="AD202" s="1"/>
      <c r="AE202" s="13"/>
    </row>
    <row r="203" spans="1:31" ht="16.5" customHeight="1">
      <c r="B203" s="103"/>
      <c r="C203" s="335"/>
      <c r="D203" s="309"/>
      <c r="E203" s="359" t="str">
        <f>IF('Mon Entreprise'!K8&gt;Annexes!Q24,"",IF(OR(AB199="OUI",AND(OR(AB201="OUI",AB200="OUI"),OR(AB196&gt;=Annexes!P5,AB197&gt;=Annexes!P5,'Mes Aides'!AB145&gt;=0.1)),AB202=TRUE),"",IF(AND(OR(AB201="OUI",AB200="OUI"),OR(AB196&lt;Annexes!P5,AB197&lt;Annexes!P5,'Mes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 ayant une perte significative")))</f>
        <v>L'entreprise ne fait pas partie des entreprises ayant une fermeture administrative et ne fait pas partie des activités mentionnées aux annexes 1, 2 et 3 du décret ayant une perte significative</v>
      </c>
      <c r="F203" s="359"/>
      <c r="G203" s="359"/>
      <c r="H203" s="359"/>
      <c r="I203" s="359"/>
      <c r="J203" s="359"/>
      <c r="K203" s="359"/>
      <c r="L203" s="359"/>
      <c r="M203" s="359"/>
      <c r="N203" s="359"/>
      <c r="O203" s="359"/>
      <c r="P203" s="1"/>
      <c r="T203" s="14"/>
      <c r="U203" s="467" t="s">
        <v>72</v>
      </c>
      <c r="V203" s="467"/>
      <c r="W203" s="467"/>
      <c r="X203" s="467"/>
      <c r="Y203" s="467"/>
      <c r="Z203" s="139"/>
      <c r="AA203" s="145"/>
      <c r="AB203" s="332" t="str">
        <f>IF('Mon Entreprise'!K8&lt;=Annexes!Q26,"Oui","Non")</f>
        <v>Oui</v>
      </c>
      <c r="AC203" s="139"/>
      <c r="AD203" s="1"/>
      <c r="AE203" s="13"/>
    </row>
    <row r="204" spans="1:31" ht="16.5" customHeight="1">
      <c r="B204" s="169"/>
      <c r="C204" s="335"/>
      <c r="D204" s="309"/>
      <c r="E204" s="359"/>
      <c r="F204" s="359"/>
      <c r="G204" s="359"/>
      <c r="H204" s="359"/>
      <c r="I204" s="359"/>
      <c r="J204" s="359"/>
      <c r="K204" s="359"/>
      <c r="L204" s="359"/>
      <c r="M204" s="359"/>
      <c r="N204" s="359"/>
      <c r="O204" s="359"/>
      <c r="P204" s="1"/>
      <c r="T204" s="14"/>
      <c r="U204" s="467" t="s">
        <v>84</v>
      </c>
      <c r="V204" s="467"/>
      <c r="W204" s="467"/>
      <c r="X204" s="467"/>
      <c r="Y204" s="467"/>
      <c r="Z204" s="139"/>
      <c r="AA204" s="145"/>
      <c r="AB204" s="332">
        <f>IF('Mon Entreprise'!K8&gt;=Annexes!O20,IF(AB179&gt;=AB181,AB179,AB181),IF(AB179&gt;=AB180,AB179,AB180))</f>
        <v>0</v>
      </c>
      <c r="AC204" s="139"/>
      <c r="AD204" s="1"/>
      <c r="AE204" s="13"/>
    </row>
    <row r="205" spans="1:31" ht="16.5" customHeight="1">
      <c r="A205" s="99"/>
      <c r="B205" s="103"/>
      <c r="C205" s="335"/>
      <c r="D205" s="465"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05" s="465"/>
      <c r="F205" s="465"/>
      <c r="G205" s="465"/>
      <c r="H205" s="465"/>
      <c r="I205" s="465"/>
      <c r="J205" s="465"/>
      <c r="K205" s="465"/>
      <c r="L205" s="465"/>
      <c r="M205" s="465"/>
      <c r="N205" s="465"/>
      <c r="O205" s="465"/>
      <c r="P205" s="1"/>
      <c r="T205" s="14"/>
      <c r="U205" s="467" t="s">
        <v>85</v>
      </c>
      <c r="V205" s="467"/>
      <c r="W205" s="467"/>
      <c r="X205" s="467"/>
      <c r="Y205" s="467"/>
      <c r="Z205" s="139"/>
      <c r="AA205" s="145"/>
      <c r="AB205" s="332">
        <f>IF('Mon Entreprise'!K8&gt;=Annexes!O20,IF(AB179&gt;=AB181,AE179,AE181),IF(AB179&gt;=AB180,AE179,AE180))</f>
        <v>0</v>
      </c>
      <c r="AC205" s="139"/>
      <c r="AD205" s="1"/>
      <c r="AE205" s="13"/>
    </row>
    <row r="206" spans="1:31" ht="16.5" customHeight="1">
      <c r="B206" s="103"/>
      <c r="C206" s="335"/>
      <c r="D206" s="216" t="str">
        <f>IF(OR(AB199="OUI",AB202=TRUE),"- Sans ticket modérateur",IF(AND(OR(AB201="OUI",AB200="OUI"),OR(AB196&gt;=0.8,AB197&gt;=0.8,AB198&gt;=0.1)),"- La Perte de référence est plafonnée à 80 %, soit "&amp;ROUND(AB208,0)&amp;" €","- Sans ticket modérateur"))</f>
        <v>- Sans ticket modérateur</v>
      </c>
      <c r="E206" s="328"/>
      <c r="F206" s="328"/>
      <c r="G206" s="328"/>
      <c r="H206" s="328"/>
      <c r="I206" s="328"/>
      <c r="J206" s="328"/>
      <c r="K206" s="328"/>
      <c r="L206" s="328"/>
      <c r="M206" s="328"/>
      <c r="N206" s="328"/>
      <c r="O206" s="328"/>
      <c r="P206" s="1"/>
      <c r="T206" s="14"/>
      <c r="U206" s="447" t="s">
        <v>74</v>
      </c>
      <c r="V206" s="447"/>
      <c r="W206" s="447"/>
      <c r="X206" s="447"/>
      <c r="Y206" s="447"/>
      <c r="Z206" s="139"/>
      <c r="AA206" s="145"/>
      <c r="AB206" s="332">
        <f>IF(OR(AB199="OUI",AB202=TRUE),1,IF(AND(OR(AB201="OUI",AB200="OUI"),OR(AB196&gt;=0.8,AB197&gt;=0.8,AB198&gt;=0.1)),0.8,1))</f>
        <v>1</v>
      </c>
      <c r="AC206" s="139"/>
      <c r="AD206" s="1"/>
      <c r="AE206" s="13"/>
    </row>
    <row r="207" spans="1:31" ht="16.5" customHeight="1" thickBot="1">
      <c r="B207" s="103"/>
      <c r="C207" s="335"/>
      <c r="D207" s="328"/>
      <c r="E207" s="328"/>
      <c r="F207" s="328"/>
      <c r="G207" s="328"/>
      <c r="H207" s="328"/>
      <c r="I207" s="328"/>
      <c r="J207" s="328"/>
      <c r="K207" s="328"/>
      <c r="L207" s="328"/>
      <c r="M207" s="328"/>
      <c r="N207" s="328"/>
      <c r="O207" s="328"/>
      <c r="P207" s="1"/>
      <c r="T207" s="14"/>
      <c r="U207" s="447" t="s">
        <v>80</v>
      </c>
      <c r="V207" s="447"/>
      <c r="W207" s="447"/>
      <c r="X207" s="447"/>
      <c r="Y207" s="447"/>
      <c r="Z207" s="139"/>
      <c r="AA207" s="145"/>
      <c r="AB207" s="332">
        <f>IF('Mon Entreprise'!K8&gt;=Annexes!O20,IF(AB179&gt;=AB181,Y179,Y181),IF(AB179&gt;=AB180,Y179,Y180))</f>
        <v>0</v>
      </c>
      <c r="AC207" s="139"/>
      <c r="AD207" s="1"/>
      <c r="AE207" s="13"/>
    </row>
    <row r="208" spans="1:31" ht="16.5" customHeight="1">
      <c r="B208" s="103"/>
      <c r="C208" s="335"/>
      <c r="D208" s="450" t="str">
        <f>IFERROR(IF('Mon Entreprise'!K8&gt;Annexes!Q26,"Vous avez débuté votre activité après le 31 Octobre 2020, vous ne pouvez donc pas bénéficier de cette aide",IF(AB202=TRUE,IF(AB208&gt;Annexes!O6,"Dans votre cas, l'aide est Plafonnée, à "&amp;Annexes!O6&amp;" € pour le mois de Janvier","Vous pouvez bénéficier, au titre de cette aide, d'un montant de "&amp;ROUND(AB208,0)&amp;" € pour le mois de Janvier"),IF(AB205&gt;=0.5,IF(OR(AB199="OUI",AND(OR(AB201="OUI",AB200="OUI"),OR(AB196&gt;=Annexes!P5,AB197&gt;=Annexes!P5,AB198&gt;=0.1))),IF(AB208&gt;Annexes!O6,"Dans votre cas, l'aide est Plafonnée, à "&amp;Annexes!O6&amp;" € pour le mois de Janvier","Vous pouvez bénéficier, au titre de cette aide, d'un montant de "&amp;ROUND(AB208,0)&amp;" € pour le mois de Janvier"),IF(AND(OR(AB201="OUI",AB200="OUI"),OR(AB196&lt;Annexes!P5,AB197&lt;Annexes!P5)),"L'entreprise fait partie des entreprises mentionnées en annexe 2 ou 3 du décret, mais n'a pas eu une perte de CA d'au-Moins 80 % entre le 15/03/2020 et le 15/05/2020 ou au mois de Novembre 2020 ou 10 % de perte entre 2019 et 2020","L'entreprise ne fait pas partie des entreprises ayant une fermeture administrative et ne fait pas partie des activités mentionnées aux annexes 1, 2 et 3 du décret")),"L'entreprise n'a pas une perte d'au moins 50 % en Janvier 2021"))),"Vous n'avez pas indiqué de chiffre d'affaires de référence")</f>
        <v>L'entreprise n'a pas une perte d'au moins 50 % en Janvier 2021</v>
      </c>
      <c r="E208" s="451"/>
      <c r="F208" s="451"/>
      <c r="G208" s="451"/>
      <c r="H208" s="451"/>
      <c r="I208" s="451"/>
      <c r="J208" s="451"/>
      <c r="K208" s="451"/>
      <c r="L208" s="451"/>
      <c r="M208" s="451"/>
      <c r="N208" s="451"/>
      <c r="O208" s="452"/>
      <c r="P208" s="1"/>
      <c r="T208" s="14"/>
      <c r="U208" s="435" t="s">
        <v>104</v>
      </c>
      <c r="V208" s="435"/>
      <c r="W208" s="435"/>
      <c r="X208" s="435"/>
      <c r="Y208" s="435"/>
      <c r="Z208" s="1"/>
      <c r="AA208" s="14"/>
      <c r="AB208" s="333">
        <f>IF(AB206=1,AB204,IF(AB204*AB206&gt;1500,IF(AB204&gt;1500,AB204*AB206,"Impossible"),IF(AB204&lt;1500,AB204,1500)))</f>
        <v>0</v>
      </c>
      <c r="AC208" s="1"/>
      <c r="AD208" s="1"/>
      <c r="AE208" s="13"/>
    </row>
    <row r="209" spans="2:31" ht="16.5" customHeight="1">
      <c r="B209" s="174"/>
      <c r="C209" s="335"/>
      <c r="D209" s="453"/>
      <c r="E209" s="454"/>
      <c r="F209" s="454"/>
      <c r="G209" s="454"/>
      <c r="H209" s="454"/>
      <c r="I209" s="454"/>
      <c r="J209" s="454"/>
      <c r="K209" s="454"/>
      <c r="L209" s="454"/>
      <c r="M209" s="454"/>
      <c r="N209" s="454"/>
      <c r="O209" s="455"/>
      <c r="P209" s="1"/>
      <c r="T209" s="14"/>
      <c r="U209" s="333"/>
      <c r="V209" s="333"/>
      <c r="W209" s="333"/>
      <c r="X209" s="333"/>
      <c r="Y209" s="333"/>
      <c r="Z209" s="1"/>
      <c r="AA209" s="1"/>
      <c r="AB209" s="1"/>
      <c r="AC209" s="1"/>
      <c r="AD209" s="1"/>
      <c r="AE209" s="13"/>
    </row>
    <row r="210" spans="2:31" ht="16.5" customHeight="1">
      <c r="B210" s="103"/>
      <c r="C210" s="335"/>
      <c r="D210" s="453"/>
      <c r="E210" s="454"/>
      <c r="F210" s="454"/>
      <c r="G210" s="454"/>
      <c r="H210" s="454"/>
      <c r="I210" s="454"/>
      <c r="J210" s="454"/>
      <c r="K210" s="454"/>
      <c r="L210" s="454"/>
      <c r="M210" s="454"/>
      <c r="N210" s="454"/>
      <c r="O210" s="455"/>
      <c r="P210" s="1"/>
      <c r="T210" s="14"/>
      <c r="U210" s="435"/>
      <c r="V210" s="435"/>
      <c r="W210" s="435"/>
      <c r="X210" s="435"/>
      <c r="Y210" s="435"/>
      <c r="Z210" s="1"/>
      <c r="AA210" s="1"/>
      <c r="AB210" s="1"/>
      <c r="AC210" s="1"/>
      <c r="AD210" s="1"/>
      <c r="AE210" s="13"/>
    </row>
    <row r="211" spans="2:31" ht="16.5" customHeight="1" thickBot="1">
      <c r="B211" s="103"/>
      <c r="C211" s="335"/>
      <c r="D211" s="456"/>
      <c r="E211" s="457"/>
      <c r="F211" s="457"/>
      <c r="G211" s="457"/>
      <c r="H211" s="457"/>
      <c r="I211" s="457"/>
      <c r="J211" s="457"/>
      <c r="K211" s="457"/>
      <c r="L211" s="457"/>
      <c r="M211" s="457"/>
      <c r="N211" s="457"/>
      <c r="O211" s="458"/>
      <c r="P211" s="1"/>
      <c r="T211" s="14"/>
      <c r="U211" s="333"/>
      <c r="V211" s="333"/>
      <c r="W211" s="333"/>
      <c r="X211" s="333"/>
      <c r="Y211" s="333"/>
      <c r="Z211" s="1"/>
      <c r="AA211" s="1"/>
      <c r="AB211" s="1"/>
      <c r="AC211" s="1"/>
      <c r="AD211" s="1"/>
      <c r="AE211" s="13"/>
    </row>
    <row r="212" spans="2:31" ht="16.5" customHeight="1">
      <c r="B212" s="103"/>
      <c r="C212" s="170"/>
      <c r="D212" s="175"/>
      <c r="E212" s="175"/>
      <c r="F212" s="175"/>
      <c r="G212" s="175"/>
      <c r="H212" s="175"/>
      <c r="I212" s="175"/>
      <c r="J212" s="175"/>
      <c r="K212" s="175"/>
      <c r="L212" s="175"/>
      <c r="M212" s="175"/>
      <c r="N212" s="175"/>
      <c r="O212" s="175"/>
      <c r="P212" s="1"/>
      <c r="T212" s="14"/>
      <c r="U212" s="1"/>
      <c r="V212" s="1"/>
      <c r="W212" s="1"/>
      <c r="X212" s="1"/>
      <c r="Y212" s="1"/>
      <c r="Z212" s="1"/>
      <c r="AA212" s="1"/>
      <c r="AB212" s="1"/>
      <c r="AC212" s="1"/>
      <c r="AD212" s="1"/>
      <c r="AE212" s="13"/>
    </row>
    <row r="213" spans="2:31" ht="16.5" customHeight="1">
      <c r="B213" s="103"/>
      <c r="C213" s="335"/>
      <c r="D213" s="328"/>
      <c r="E213" s="328"/>
      <c r="F213" s="328"/>
      <c r="G213" s="328"/>
      <c r="H213" s="328"/>
      <c r="I213" s="328"/>
      <c r="J213" s="328"/>
      <c r="K213" s="328"/>
      <c r="L213" s="328"/>
      <c r="M213" s="328"/>
      <c r="N213" s="328"/>
      <c r="O213" s="328"/>
      <c r="P213" s="1"/>
      <c r="T213" s="14"/>
      <c r="U213" s="1"/>
      <c r="V213" s="1"/>
      <c r="W213" s="1"/>
      <c r="X213" s="1"/>
      <c r="Y213" s="1"/>
      <c r="Z213" s="1"/>
      <c r="AA213" s="1"/>
      <c r="AB213" s="1"/>
      <c r="AC213" s="1"/>
      <c r="AD213" s="1"/>
      <c r="AE213" s="13"/>
    </row>
    <row r="214" spans="2:31" ht="16.5" customHeight="1">
      <c r="B214" s="103"/>
      <c r="C214" s="469" t="s">
        <v>304</v>
      </c>
      <c r="D214" s="469"/>
      <c r="E214" s="469"/>
      <c r="F214" s="469"/>
      <c r="G214" s="469"/>
      <c r="H214" s="469"/>
      <c r="I214" s="469"/>
      <c r="J214" s="469"/>
      <c r="K214" s="469"/>
      <c r="L214" s="469"/>
      <c r="M214" s="469"/>
      <c r="N214" s="469"/>
      <c r="O214" s="469"/>
      <c r="P214" s="1"/>
      <c r="T214" s="14"/>
      <c r="U214" s="447" t="s">
        <v>82</v>
      </c>
      <c r="V214" s="447"/>
      <c r="W214" s="447"/>
      <c r="X214" s="447"/>
      <c r="Y214" s="447"/>
      <c r="Z214" s="68"/>
      <c r="AA214" s="1"/>
      <c r="AB214" s="1">
        <f>IFERROR(IF(AB187="Non",0,IF(AB190&gt;=0.5,IF(AB189&gt;Annexes!O5,Annexes!O5,ROUND(AB189,0)),0)),0)</f>
        <v>0</v>
      </c>
      <c r="AC214" s="1"/>
      <c r="AD214" s="1"/>
      <c r="AE214" s="13"/>
    </row>
    <row r="215" spans="2:31" ht="16.5" customHeight="1">
      <c r="B215" s="103"/>
      <c r="C215" s="469"/>
      <c r="D215" s="469"/>
      <c r="E215" s="469"/>
      <c r="F215" s="469"/>
      <c r="G215" s="469"/>
      <c r="H215" s="469"/>
      <c r="I215" s="469"/>
      <c r="J215" s="469"/>
      <c r="K215" s="469"/>
      <c r="L215" s="469"/>
      <c r="M215" s="469"/>
      <c r="N215" s="469"/>
      <c r="O215" s="469"/>
      <c r="P215" s="1"/>
      <c r="T215" s="14"/>
      <c r="U215" s="447" t="s">
        <v>81</v>
      </c>
      <c r="V215" s="447"/>
      <c r="W215" s="447"/>
      <c r="X215" s="447"/>
      <c r="Y215" s="447"/>
      <c r="Z215" s="68"/>
      <c r="AA215" s="1"/>
      <c r="AB215" s="1">
        <f>IFERROR(IF('Mon Entreprise'!K8&gt;Annexes!Q26,0,IF(AB202=TRUE,IF(AB208&gt;Annexes!O6,Annexes!O6,ROUND(AB208,0)),IF(AB205&gt;=0.5,IF(OR(AB199="OUI",AND(OR(AB201="OUI",AB200="OUI"),OR(AB196&gt;=Annexes!P5,AB197&gt;=Annexes!P5,AB198&gt;=0.1))),IF(AB208&gt;Annexes!O6,Annexes!O6,ROUND(AB208,0)),IF(AND(OR(AB201="OUI",AB200="OUI"),OR(AB196&lt;Annexes!P5,AB197&lt;Annexes!P5)),0,0)),0))),0)</f>
        <v>0</v>
      </c>
      <c r="AC215" s="1"/>
      <c r="AD215" s="1"/>
      <c r="AE215" s="13"/>
    </row>
    <row r="216" spans="2:31" ht="16.5" customHeight="1">
      <c r="B216" s="174"/>
      <c r="C216" s="469"/>
      <c r="D216" s="469"/>
      <c r="E216" s="469"/>
      <c r="F216" s="469"/>
      <c r="G216" s="469"/>
      <c r="H216" s="469"/>
      <c r="I216" s="469"/>
      <c r="J216" s="469"/>
      <c r="K216" s="469"/>
      <c r="L216" s="469"/>
      <c r="M216" s="469"/>
      <c r="N216" s="469"/>
      <c r="O216" s="469"/>
      <c r="P216" s="1"/>
      <c r="T216" s="14"/>
      <c r="U216" s="447" t="s">
        <v>399</v>
      </c>
      <c r="V216" s="447"/>
      <c r="W216" s="447"/>
      <c r="X216" s="447"/>
      <c r="Y216" s="447"/>
      <c r="Z216" s="68"/>
      <c r="AA216" s="1"/>
      <c r="AB216" s="1">
        <f>IFERROR(IF('Mon Entreprise'!K8&gt;Annexes!Q26,0,IF(AB202=TRUE,IF(AB207=0,0,IF(AB204&lt;AB207*0.2,ROUND(AB204,0),IF(AB207*0.2&gt;=200000,Annexes!O8,ROUND(AB207*0.2,0)))),IF(OR(AB199="OUI",AND(AB200="OUI",OR(AB196&gt;=0.8,AB197&gt;=0.8,AB198&gt;=0.1))),IF(AB205&gt;=0.7,IF(AB204&lt;AB207*0.2,ROUND(AB204,0),IF(AB207*0.2&gt;=200000,Annexes!O8,ROUND(AB207*0.2,0))),IF(AB205&gt;=0.5,IF(AB204&lt;AB207*0.15,ROUND(AB204,0),IF(AB207*0.15&gt;=200000,Annexes!O8,ROUND(AB207*0.15,0))),IF(AND(AB201="OUI",OR(AB196&gt;=0.8,AB197&gt;=0.8,AB198&gt;=0.1),AB205&gt;=0.7),IF(AB204&lt;AB207*0.2,ROUND(AB204,0),IF(AB207*0.2&gt;=200000,Annexes!O8,ROUND(AB207*0.2,0))),0))),IF(AND(AB201="OUI",OR(AB196&gt;=0.8,AB197&gt;=0.8,AB198&gt;=0.1),AB205&gt;=0.7),IF(AB204&lt;AB207*0.2,ROUND(AB204,0),IF(AB207*0.2&gt;=200000,Annexes!O8,ROUND(AB207*0.2,0))),0)))),0)</f>
        <v>0</v>
      </c>
      <c r="AC216" s="1"/>
      <c r="AD216" s="1"/>
      <c r="AE216" s="13"/>
    </row>
    <row r="217" spans="2:31" ht="16.5" customHeight="1">
      <c r="B217" s="174"/>
      <c r="C217" s="335"/>
      <c r="D217" s="309"/>
      <c r="E217" s="359" t="str">
        <f>IF('Mon Entreprise'!K8&gt;Annexes!Q24,"",IF(OR(AB199="OUI",AND(OR(AB201="OUI",AB200="OUI"),OR(AB196&gt;=Annexes!P5,AB197&gt;=Annexes!P5,'Mes Aides'!AB145&gt;=0.1)),AB202=TRUE),"",IF(AND(OR(AB201="OUI",AB200="OUI"),OR(AB196&lt;Annexes!P5,AB197&lt;Annexes!P5,'Mes Aides'!AB145&lt;0.1)),"L'entreprise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et ne fait pas partie des activités mentionnées aux annexes 1, 2 et 3 du décret")))</f>
        <v>L'entreprise ne fait pas partie des entreprises ayant une fermeture administrative et ne fait pas partie des activités mentionnées aux annexes 1, 2 et 3 du décret</v>
      </c>
      <c r="F217" s="359"/>
      <c r="G217" s="359"/>
      <c r="H217" s="359"/>
      <c r="I217" s="359"/>
      <c r="J217" s="359"/>
      <c r="K217" s="359"/>
      <c r="L217" s="359"/>
      <c r="M217" s="359"/>
      <c r="N217" s="359"/>
      <c r="O217" s="359"/>
      <c r="P217" s="1"/>
      <c r="T217" s="14"/>
      <c r="U217" s="1"/>
      <c r="V217" s="1"/>
      <c r="W217" s="1"/>
      <c r="X217" s="1"/>
      <c r="Y217" s="1"/>
      <c r="Z217" s="1"/>
      <c r="AA217" s="1"/>
      <c r="AB217" s="1"/>
      <c r="AC217" s="1"/>
      <c r="AD217" s="1"/>
      <c r="AE217" s="13"/>
    </row>
    <row r="218" spans="2:31" ht="30" customHeight="1">
      <c r="B218" s="174"/>
      <c r="C218" s="335"/>
      <c r="D218" s="309"/>
      <c r="E218" s="359"/>
      <c r="F218" s="359"/>
      <c r="G218" s="359"/>
      <c r="H218" s="359"/>
      <c r="I218" s="359"/>
      <c r="J218" s="359"/>
      <c r="K218" s="359"/>
      <c r="L218" s="359"/>
      <c r="M218" s="359"/>
      <c r="N218" s="359"/>
      <c r="O218" s="359"/>
      <c r="P218" s="1"/>
      <c r="T218" s="14"/>
      <c r="U218" s="1"/>
      <c r="V218" s="1"/>
      <c r="W218" s="1"/>
      <c r="X218" s="1"/>
      <c r="Y218" s="1"/>
      <c r="Z218" s="1"/>
      <c r="AA218" s="1"/>
      <c r="AB218" s="1"/>
      <c r="AC218" s="1"/>
      <c r="AD218" s="1"/>
      <c r="AE218" s="13"/>
    </row>
    <row r="219" spans="2:31" ht="16.5" customHeight="1">
      <c r="B219" s="174"/>
      <c r="C219" s="335"/>
      <c r="D219" s="359" t="str">
        <f>IFERROR(IF('Mon Entreprise'!K8&gt;=Annexes!O20,IF(AB179&gt;=AB181,"- Le CA de référence est celui de Janvier 2019, soit une perte de "&amp;ROUND(AB179,0)&amp;" €"&amp;" ==&gt; "&amp;ROUND(AE179*100,0)&amp;" %","- Le CA de référence est celui de la création, soit une perte de "&amp;ROUND(AB181,0)&amp;" €"&amp;" ==&gt; "&amp;ROUND(AE181*100,0)&amp;" %"),IF(AB179&gt;=AB180,"- Le CA de référence est celui de Janvier 2019, soit une perte de "&amp;ROUND(AB179,0)&amp;" €"&amp;" ==&gt; "&amp;ROUND(AE179*100,0)&amp;" %","- Le CA de référence est celui de l'exercice 2019, soit une perte de "&amp;ROUND(AB180,0)&amp;" €"&amp;" ==&gt; "&amp;ROUND(AE180*100,0)&amp;" %")),"")</f>
        <v>- Le CA de référence est celui de Janvier 2019, soit une perte de 0 € ==&gt; 0 %</v>
      </c>
      <c r="E219" s="359"/>
      <c r="F219" s="359"/>
      <c r="G219" s="359"/>
      <c r="H219" s="359"/>
      <c r="I219" s="359"/>
      <c r="J219" s="359"/>
      <c r="K219" s="359"/>
      <c r="L219" s="359"/>
      <c r="M219" s="359"/>
      <c r="N219" s="359"/>
      <c r="O219" s="359"/>
      <c r="P219" s="328"/>
      <c r="Q219" s="328"/>
      <c r="T219" s="14"/>
      <c r="U219" s="1"/>
      <c r="V219" s="1"/>
      <c r="W219" s="1"/>
      <c r="X219" s="1"/>
      <c r="Y219" s="1"/>
      <c r="Z219" s="1"/>
      <c r="AA219" s="1"/>
      <c r="AB219" s="1"/>
      <c r="AC219" s="1"/>
      <c r="AD219" s="1"/>
      <c r="AE219" s="13"/>
    </row>
    <row r="220" spans="2:31" ht="16.5" customHeight="1">
      <c r="B220" s="103"/>
      <c r="C220" s="335"/>
      <c r="D220" s="465" t="str">
        <f>IF(AB202=TRUE,"- L'entreprise peut bénéficier d'une aide de 20 % du CA de référence, plafonnée à 200 000 €",IF(OR(AB199="OUI",AND(AB200="OUI",OR(AB196&gt;=0.8,AB197&gt;=0.8,AB198&gt;=0.1))),IF(AB205&gt;=0.7,"- L'entreprise peut bénéficier d'une aide de 20 % du CA de référence, plafonnée à 200 000 €",IF(AB205&gt;=0.5,"- L'entreprise peut bénéficier d'une aide de 15 % du CA de référence, plafonnée à 200 000 €","- L'entreprise n'a subi ni de fermeture administrative au mois de Janvier, ni de perte d'au moins 50 % de son CA")),IF(AND(AB201="OUI",OR(AB196&gt;=0.8,AB197&gt;=0.8,AB198&gt;=0.1),AB205&gt;=0.5),"- L'entreprise peut bénéficier d'une aide de 20 % du CA de référence, plafonnée à 200 000 €","- L'entreprise ne fait ni partie des fermetures administratives au mois de Janvier, ni des activités mentionnées en annexe 1 (S1) ou en annexe 2 (S1 bis) ou Annexe 3 ayant une perte significative")))</f>
        <v>- L'entreprise ne fait ni partie des fermetures administratives au mois de Janvier, ni des activités mentionnées en annexe 1 (S1) ou en annexe 2 (S1 bis) ou Annexe 3 ayant une perte significative</v>
      </c>
      <c r="E220" s="465"/>
      <c r="F220" s="465"/>
      <c r="G220" s="465"/>
      <c r="H220" s="465"/>
      <c r="I220" s="465"/>
      <c r="J220" s="465"/>
      <c r="K220" s="465"/>
      <c r="L220" s="465"/>
      <c r="M220" s="465"/>
      <c r="N220" s="465"/>
      <c r="O220" s="465"/>
      <c r="P220" s="328"/>
      <c r="Q220" s="328"/>
      <c r="T220" s="14"/>
      <c r="U220" s="1"/>
      <c r="V220" s="1"/>
      <c r="W220" s="1"/>
      <c r="X220" s="1"/>
      <c r="Y220" s="1"/>
      <c r="Z220" s="1"/>
      <c r="AA220" s="1"/>
      <c r="AB220" s="1"/>
      <c r="AC220" s="1"/>
      <c r="AD220" s="1"/>
      <c r="AE220" s="13"/>
    </row>
    <row r="221" spans="2:31" ht="16.5" customHeight="1">
      <c r="B221" s="169"/>
      <c r="C221" s="335"/>
      <c r="D221" s="465"/>
      <c r="E221" s="465"/>
      <c r="F221" s="465"/>
      <c r="G221" s="465"/>
      <c r="H221" s="465"/>
      <c r="I221" s="465"/>
      <c r="J221" s="465"/>
      <c r="K221" s="465"/>
      <c r="L221" s="465"/>
      <c r="M221" s="465"/>
      <c r="N221" s="465"/>
      <c r="O221" s="465"/>
      <c r="P221" s="328"/>
      <c r="Q221" s="328"/>
      <c r="T221" s="14"/>
      <c r="U221" s="1"/>
      <c r="V221" s="1"/>
      <c r="W221" s="1"/>
      <c r="X221" s="1"/>
      <c r="Y221" s="1"/>
      <c r="Z221" s="1"/>
      <c r="AA221" s="1"/>
      <c r="AB221" s="1"/>
      <c r="AC221" s="1"/>
      <c r="AD221" s="1"/>
      <c r="AE221" s="13"/>
    </row>
    <row r="222" spans="2:31" ht="16.5" customHeight="1" thickBot="1">
      <c r="B222" s="169"/>
      <c r="C222" s="335"/>
      <c r="D222" s="206"/>
      <c r="E222" s="328"/>
      <c r="F222" s="328"/>
      <c r="G222" s="328"/>
      <c r="H222" s="328"/>
      <c r="I222" s="328"/>
      <c r="J222" s="328"/>
      <c r="K222" s="328"/>
      <c r="L222" s="328"/>
      <c r="M222" s="328"/>
      <c r="N222" s="328"/>
      <c r="O222" s="328"/>
      <c r="P222" s="328"/>
      <c r="Q222" s="328"/>
      <c r="T222" s="14"/>
      <c r="U222" s="1"/>
      <c r="V222" s="1"/>
      <c r="W222" s="1"/>
      <c r="X222" s="1"/>
      <c r="Y222" s="1"/>
      <c r="Z222" s="1"/>
      <c r="AA222" s="1"/>
      <c r="AB222" s="1"/>
      <c r="AC222" s="1"/>
      <c r="AD222" s="1"/>
      <c r="AE222" s="13"/>
    </row>
    <row r="223" spans="2:31" ht="16.5" customHeight="1">
      <c r="B223" s="103"/>
      <c r="C223" s="181"/>
      <c r="D223" s="468" t="str">
        <f>IFERROR(IF('Mon Entreprise'!K8&gt;Annexes!Q26,"Vous avez débuté votre activité après le 31 Octobre 2020, vous ne pouvez donc pas bénéficier de cette aide",IF(AB202=TRUE,IF(AB207=0,"Vous n'avez pas indiqué de chiffre d'affaires de référence",IF(AB204&lt;AB207*0.2,"Dans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Janvier"))),IF(OR(AB199="OUI",AND(AB200="OUI",OR(AB196&gt;=0.8,AB197&gt;=0.8,AB198&gt;=0.1))),IF(AB205&gt;=0.7,IF(AB204&lt;AB207*0.2,"Dans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Janvier")),IF(AB205&gt;=0.5,IF(AB204&lt;AB207*0.15,"Dans votre cas, la perte est inférieure à 15 % du CA, l'aide est donc plafonnée à la perte, soit "&amp;ROUND(AB204,0)&amp;" € pour le mois de Janvier",IF(AB207*0.15&gt;=200000,"Dans votre cas, l'aide est plafonnée, à "&amp;Annexes!O8&amp;" € pour le mois de Janvier","Vous pouvez bénéficier, au titre de cette aide, d'un montant de "&amp;ROUND(AB207*0.15,0)&amp;" € pour le mois de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2 (S1 bis) avec 50 % de perte en Janvier ou 3 avec 70 % de Perte en Janvier"))),IF(AND(AB201="OUI",OR(AB196&gt;=0.8,AB197&gt;=0.8,AB198&gt;=0.1),AB205&gt;=0.7),IF(AB204&lt;AB207*0.2,"Dans votre cas, la perte est inférieure à 20 % du CA, l'aide est donc plafonnée à la perte, soit "&amp;ROUND(AB204,0)&amp;" € pour le mois de Janvier",IF(AB207*0.2&gt;=200000,"Dans votre cas, l'aide est plafonnée, à "&amp;Annexes!O8&amp;" € pour le mois de Janvier","Vous pouvez bénéficier, au titre de cette aide, d'un montant de "&amp;ROUND(AB207*0.2,0)&amp;" € pour le mois de Janvier")),"L'entreprise ne fait ni partie des fermetures administratives au mois de Janvier, ni des activités mentionnées en annexe 1 (S1) ou en annexe 2 (S1 bis) avec 50 % de perte en Janvier ou 3 avec 70 % de Perte en Janvier")))),"Vous n'avez pas indiqué de chiffre d'affaires de référence")</f>
        <v>L'entreprise ne fait ni partie des fermetures administratives au mois de Janvier, ni des activités mentionnées en annexe 1 (S1) ou en annexe 2 (S1 bis) avec 50 % de perte en Janvier ou 3 avec 70 % de Perte en Janvier</v>
      </c>
      <c r="E223" s="451"/>
      <c r="F223" s="451"/>
      <c r="G223" s="451"/>
      <c r="H223" s="451"/>
      <c r="I223" s="451"/>
      <c r="J223" s="451"/>
      <c r="K223" s="451"/>
      <c r="L223" s="451"/>
      <c r="M223" s="451"/>
      <c r="N223" s="451"/>
      <c r="O223" s="452"/>
      <c r="P223" s="328"/>
      <c r="Q223" s="328"/>
      <c r="T223" s="14"/>
      <c r="U223" s="1"/>
      <c r="V223" s="1"/>
      <c r="W223" s="1"/>
      <c r="X223" s="1"/>
      <c r="Y223" s="1"/>
      <c r="Z223" s="1"/>
      <c r="AA223" s="1"/>
      <c r="AB223" s="1"/>
      <c r="AC223" s="1"/>
      <c r="AD223" s="1"/>
      <c r="AE223" s="13"/>
    </row>
    <row r="224" spans="2:31" ht="16.5" customHeight="1">
      <c r="B224" s="103"/>
      <c r="C224" s="181"/>
      <c r="D224" s="453"/>
      <c r="E224" s="454"/>
      <c r="F224" s="454"/>
      <c r="G224" s="454"/>
      <c r="H224" s="454"/>
      <c r="I224" s="454"/>
      <c r="J224" s="454"/>
      <c r="K224" s="454"/>
      <c r="L224" s="454"/>
      <c r="M224" s="454"/>
      <c r="N224" s="454"/>
      <c r="O224" s="455"/>
      <c r="P224" s="328"/>
      <c r="Q224" s="328"/>
      <c r="T224" s="14"/>
      <c r="U224" s="1"/>
      <c r="V224" s="1"/>
      <c r="W224" s="1"/>
      <c r="X224" s="1"/>
      <c r="Y224" s="1"/>
      <c r="Z224" s="1"/>
      <c r="AA224" s="1"/>
      <c r="AB224" s="1"/>
      <c r="AC224" s="1"/>
      <c r="AD224" s="1"/>
      <c r="AE224" s="13"/>
    </row>
    <row r="225" spans="2:31" ht="16.5" customHeight="1">
      <c r="B225" s="103"/>
      <c r="C225" s="181"/>
      <c r="D225" s="453"/>
      <c r="E225" s="454"/>
      <c r="F225" s="454"/>
      <c r="G225" s="454"/>
      <c r="H225" s="454"/>
      <c r="I225" s="454"/>
      <c r="J225" s="454"/>
      <c r="K225" s="454"/>
      <c r="L225" s="454"/>
      <c r="M225" s="454"/>
      <c r="N225" s="454"/>
      <c r="O225" s="455"/>
      <c r="P225" s="176"/>
      <c r="Q225" s="176"/>
      <c r="T225" s="14"/>
      <c r="U225" s="1"/>
      <c r="V225" s="1"/>
      <c r="W225" s="1"/>
      <c r="X225" s="1"/>
      <c r="Y225" s="1"/>
      <c r="Z225" s="1"/>
      <c r="AA225" s="1"/>
      <c r="AB225" s="1"/>
      <c r="AC225" s="1"/>
      <c r="AD225" s="1"/>
      <c r="AE225" s="13"/>
    </row>
    <row r="226" spans="2:31" ht="16.5" customHeight="1" thickBot="1">
      <c r="B226" s="103"/>
      <c r="C226" s="181"/>
      <c r="D226" s="456"/>
      <c r="E226" s="457"/>
      <c r="F226" s="457"/>
      <c r="G226" s="457"/>
      <c r="H226" s="457"/>
      <c r="I226" s="457"/>
      <c r="J226" s="457"/>
      <c r="K226" s="457"/>
      <c r="L226" s="457"/>
      <c r="M226" s="457"/>
      <c r="N226" s="457"/>
      <c r="O226" s="458"/>
      <c r="T226" s="14"/>
      <c r="U226" s="1"/>
      <c r="V226" s="1"/>
      <c r="W226" s="1"/>
      <c r="X226" s="1"/>
      <c r="Y226" s="1"/>
      <c r="Z226" s="1"/>
      <c r="AA226" s="1"/>
      <c r="AB226" s="1"/>
      <c r="AC226" s="1"/>
      <c r="AD226" s="1"/>
      <c r="AE226" s="13"/>
    </row>
    <row r="227" spans="2:31" ht="16.5" customHeight="1">
      <c r="B227" s="5"/>
      <c r="C227" s="5"/>
      <c r="D227" s="340"/>
      <c r="E227" s="340"/>
      <c r="F227" s="340"/>
      <c r="G227" s="340"/>
      <c r="H227" s="340"/>
      <c r="I227" s="340"/>
      <c r="J227" s="340"/>
      <c r="K227" s="340"/>
      <c r="L227" s="340"/>
      <c r="M227" s="340"/>
      <c r="N227" s="340"/>
      <c r="O227" s="340"/>
      <c r="P227" s="178"/>
      <c r="Q227" s="178"/>
      <c r="T227" s="14"/>
      <c r="U227" s="1"/>
      <c r="V227" s="1"/>
      <c r="W227" s="1"/>
      <c r="X227" s="1"/>
      <c r="Y227" s="1"/>
      <c r="Z227" s="1"/>
      <c r="AA227" s="1"/>
      <c r="AB227" s="1"/>
      <c r="AC227" s="1"/>
      <c r="AD227" s="1"/>
      <c r="AE227" s="13"/>
    </row>
    <row r="228" spans="2:31">
      <c r="B228" s="5"/>
      <c r="C228" s="5"/>
      <c r="D228" s="340"/>
      <c r="E228" s="340"/>
      <c r="F228" s="340"/>
      <c r="G228" s="340"/>
      <c r="H228" s="340"/>
      <c r="I228" s="340"/>
      <c r="J228" s="340"/>
      <c r="K228" s="340"/>
      <c r="L228" s="340"/>
      <c r="M228" s="340"/>
      <c r="N228" s="340"/>
      <c r="O228" s="340"/>
      <c r="P228" s="178"/>
      <c r="Q228" s="178"/>
      <c r="T228" s="15"/>
      <c r="U228" s="10"/>
      <c r="V228" s="10"/>
      <c r="W228" s="10"/>
      <c r="X228" s="10"/>
      <c r="Y228" s="10"/>
      <c r="Z228" s="10"/>
      <c r="AA228" s="10"/>
      <c r="AB228" s="10"/>
      <c r="AC228" s="10"/>
      <c r="AD228" s="10"/>
      <c r="AE228" s="4"/>
    </row>
    <row r="229" spans="2:31">
      <c r="B229" s="5"/>
      <c r="C229" s="5"/>
      <c r="D229" s="340"/>
      <c r="E229" s="340"/>
      <c r="F229" s="340"/>
      <c r="G229" s="340"/>
      <c r="H229" s="340"/>
      <c r="I229" s="340"/>
      <c r="J229" s="340"/>
      <c r="K229" s="340"/>
      <c r="L229" s="340"/>
      <c r="M229" s="340"/>
      <c r="N229" s="340"/>
      <c r="O229" s="340"/>
      <c r="P229" s="178"/>
      <c r="Q229" s="178"/>
      <c r="T229" s="16"/>
      <c r="U229" s="11"/>
      <c r="V229" s="11"/>
      <c r="W229" s="11"/>
      <c r="X229" s="11"/>
      <c r="Y229" s="11"/>
      <c r="Z229" s="11"/>
      <c r="AA229" s="11"/>
      <c r="AB229" s="11"/>
      <c r="AC229" s="11"/>
      <c r="AD229" s="11"/>
      <c r="AE229" s="12"/>
    </row>
    <row r="230" spans="2:31" ht="16.5" thickBot="1">
      <c r="B230" s="221"/>
      <c r="C230" s="433" t="s">
        <v>309</v>
      </c>
      <c r="D230" s="433"/>
      <c r="E230" s="433"/>
      <c r="F230" s="433"/>
      <c r="G230" s="433"/>
      <c r="H230" s="433"/>
      <c r="I230" s="222"/>
      <c r="J230" s="222"/>
      <c r="K230" s="222"/>
      <c r="L230" s="222"/>
      <c r="M230" s="222"/>
      <c r="N230" s="222"/>
      <c r="O230" s="222"/>
      <c r="T230" s="14"/>
      <c r="U230" s="1"/>
      <c r="V230" s="1"/>
      <c r="W230" s="1"/>
      <c r="X230" s="1"/>
      <c r="Y230" s="1"/>
      <c r="Z230" s="1"/>
      <c r="AA230" s="1"/>
      <c r="AB230" s="1"/>
      <c r="AC230" s="1"/>
      <c r="AD230" s="1"/>
      <c r="AE230" s="13"/>
    </row>
    <row r="231" spans="2:31" ht="15" customHeight="1">
      <c r="B231" s="63"/>
      <c r="C231" s="24"/>
      <c r="D231" s="24"/>
      <c r="E231" s="24"/>
      <c r="F231" s="24"/>
      <c r="G231" s="24"/>
      <c r="H231" s="63"/>
      <c r="I231" s="1"/>
      <c r="J231" s="1"/>
      <c r="K231" s="1"/>
      <c r="L231" s="1"/>
      <c r="M231" s="1"/>
      <c r="N231" s="1"/>
      <c r="O231" s="1"/>
      <c r="T231" s="25"/>
      <c r="U231" s="435" t="s">
        <v>20</v>
      </c>
      <c r="V231" s="435"/>
      <c r="W231" s="435"/>
      <c r="X231" s="1"/>
      <c r="Y231" s="338" t="s">
        <v>6</v>
      </c>
      <c r="Z231" s="338"/>
      <c r="AA231" s="338"/>
      <c r="AB231" s="338" t="s">
        <v>23</v>
      </c>
      <c r="AC231" s="338"/>
      <c r="AD231" s="338"/>
      <c r="AE231" s="26" t="s">
        <v>24</v>
      </c>
    </row>
    <row r="232" spans="2:31" ht="15" customHeight="1">
      <c r="B232" s="103"/>
      <c r="C232" s="434" t="s">
        <v>312</v>
      </c>
      <c r="D232" s="434"/>
      <c r="E232" s="434"/>
      <c r="F232" s="434"/>
      <c r="G232" s="434"/>
      <c r="H232" s="434"/>
      <c r="I232" s="434"/>
      <c r="J232" s="434"/>
      <c r="K232" s="434"/>
      <c r="L232" s="434"/>
      <c r="M232" s="434"/>
      <c r="N232" s="434"/>
      <c r="O232" s="434"/>
      <c r="P232" s="1"/>
      <c r="T232" s="25"/>
      <c r="U232" s="338"/>
      <c r="V232" s="338"/>
      <c r="W232" s="338"/>
      <c r="X232" s="1"/>
      <c r="Y232" s="338"/>
      <c r="Z232" s="338"/>
      <c r="AA232" s="338"/>
      <c r="AB232" s="338"/>
      <c r="AC232" s="338"/>
      <c r="AD232" s="338"/>
      <c r="AE232" s="26"/>
    </row>
    <row r="233" spans="2:31" ht="15.75" customHeight="1">
      <c r="B233" s="103"/>
      <c r="C233" s="335"/>
      <c r="D233" s="60" t="s">
        <v>123</v>
      </c>
      <c r="E233" s="335"/>
      <c r="F233" s="335"/>
      <c r="G233" s="335"/>
      <c r="H233" s="335"/>
      <c r="I233" s="335"/>
      <c r="J233" s="335"/>
      <c r="K233" s="335"/>
      <c r="L233" s="335"/>
      <c r="M233" s="335"/>
      <c r="N233" s="335"/>
      <c r="O233" s="335"/>
      <c r="P233" s="1"/>
      <c r="T233" s="436" t="s">
        <v>311</v>
      </c>
      <c r="U233" s="435"/>
      <c r="V233" s="435"/>
      <c r="W233" s="435"/>
      <c r="X233" s="1"/>
      <c r="Y233" s="7">
        <f>'Mon Entreprise'!I99</f>
        <v>0</v>
      </c>
      <c r="Z233" s="133"/>
      <c r="AA233" s="21"/>
      <c r="AB233" s="7">
        <f>IF('Mon Entreprise'!I99-'Mon Entreprise'!M99&lt;0,0,'Mon Entreprise'!I99-'Mon Entreprise'!M99)</f>
        <v>0</v>
      </c>
      <c r="AC233" s="13"/>
      <c r="AD233" s="1"/>
      <c r="AE233" s="27">
        <f>IFERROR(1-'Mon Entreprise'!M99/'Mon Entreprise'!I99,0)</f>
        <v>0</v>
      </c>
    </row>
    <row r="234" spans="2:31" ht="15.75" hidden="1">
      <c r="B234" s="103"/>
      <c r="C234" s="335"/>
      <c r="D234" s="60"/>
      <c r="E234" s="335"/>
      <c r="F234" s="335"/>
      <c r="G234" s="335"/>
      <c r="H234" s="335"/>
      <c r="I234" s="335"/>
      <c r="J234" s="335"/>
      <c r="K234" s="335"/>
      <c r="L234" s="335"/>
      <c r="M234" s="335"/>
      <c r="N234" s="335"/>
      <c r="O234" s="335"/>
      <c r="P234" s="1"/>
      <c r="T234" s="436" t="s">
        <v>25</v>
      </c>
      <c r="U234" s="435"/>
      <c r="V234" s="435"/>
      <c r="W234" s="435"/>
      <c r="X234" s="1"/>
      <c r="Y234" s="7">
        <f>'Mon Entreprise'!I73</f>
        <v>0</v>
      </c>
      <c r="Z234" s="133"/>
      <c r="AA234" s="21"/>
      <c r="AB234" s="7">
        <f>IF('Mon Entreprise'!I73-'Mon Entreprise'!M99&lt;0,0,'Mon Entreprise'!I73-'Mon Entreprise'!M99)</f>
        <v>0</v>
      </c>
      <c r="AC234" s="36"/>
      <c r="AD234" s="1"/>
      <c r="AE234" s="27">
        <f>IFERROR(1-'Mon Entreprise'!M99/'Mon Entreprise'!I73,0)</f>
        <v>0</v>
      </c>
    </row>
    <row r="235" spans="2:31" ht="15.75" hidden="1">
      <c r="B235" s="103"/>
      <c r="C235" s="335"/>
      <c r="D235" s="437" t="str">
        <f>IFERROR(IF(AND(AB271=0,AB272=0,AB273=0),"Vous ne pouvez pas bénéficier du fonds de solidarité pour le mois de Février 2021",IF(AND(AB273&gt;AB272,AB273&gt;AB271),"Votre entreprise peut bénéficier d'une aide de "&amp;AB273&amp;" €, au titre d'une fermeture Administrative avec une perte de 20 % de CA, ou d'une perte d'au moins 50 % ou 70 % du CA pour les activités mentionnées en annexe 1,"&amp;" ou d'une perte d'au moins 70 % du CA pour les activités mentionnées en annexe 2 ou 3 ou dans un centre commercial",IF(AB272&gt;AB271,"Votre entreprise peut bénéficier d'une aide de "&amp;AB272&amp;" €, au titre d'une fermeture Administrative avec une perte de 20 % du CA, ou d'une perte d'au moins 50 % du CA pour les activités mentionnées en annexe 1,"&amp;" ou en annexe 2 ou 3 ou dans un centre commercial ayant une perte de CA d'au moins 80 % entre le 15/03/2020 et le 15/05/2020, au mois de Novembre 2020 ou 10 % de perte entre 2019 et 2020","Votre entreprise peut bénéficier d'une aide de "&amp;AB271&amp;" €, au titre d'une perte d'au-moins 50 % de votre CA en Février 2021"))),"Vous n'avez pas indiqué de chiffre d'affaires de référence")</f>
        <v>Vous ne pouvez pas bénéficier du fonds de solidarité pour le mois de Février 2021</v>
      </c>
      <c r="E235" s="438"/>
      <c r="F235" s="438"/>
      <c r="G235" s="438"/>
      <c r="H235" s="438"/>
      <c r="I235" s="438"/>
      <c r="J235" s="438"/>
      <c r="K235" s="438"/>
      <c r="L235" s="438"/>
      <c r="M235" s="438"/>
      <c r="N235" s="438"/>
      <c r="O235" s="439"/>
      <c r="P235" s="1"/>
      <c r="T235" s="446" t="s">
        <v>22</v>
      </c>
      <c r="U235" s="447"/>
      <c r="V235" s="447"/>
      <c r="W235" s="447"/>
      <c r="X235" s="139"/>
      <c r="Y235" s="140" t="str">
        <f>IF('Mon Entreprise'!I125="","NC",'Mon Entreprise'!I125)</f>
        <v>NC</v>
      </c>
      <c r="Z235" s="192"/>
      <c r="AA235" s="193"/>
      <c r="AB235" s="143" t="str">
        <f>IFERROR(IF('Mon Entreprise'!I125-'Mon Entreprise'!M99&lt;0,0,'Mon Entreprise'!I125-'Mon Entreprise'!M99),"NC")</f>
        <v>NC</v>
      </c>
      <c r="AC235" s="194"/>
      <c r="AD235" s="139"/>
      <c r="AE235" s="146" t="str">
        <f>IFERROR(1-'Mon Entreprise'!M99/'Mon Entreprise'!I125,"NC")</f>
        <v>NC</v>
      </c>
    </row>
    <row r="236" spans="2:31" ht="15.75" hidden="1" customHeight="1">
      <c r="B236" s="103"/>
      <c r="C236" s="335"/>
      <c r="D236" s="440"/>
      <c r="E236" s="441"/>
      <c r="F236" s="441"/>
      <c r="G236" s="441"/>
      <c r="H236" s="441"/>
      <c r="I236" s="441"/>
      <c r="J236" s="441"/>
      <c r="K236" s="441"/>
      <c r="L236" s="441"/>
      <c r="M236" s="441"/>
      <c r="N236" s="441"/>
      <c r="O236" s="442"/>
      <c r="P236" s="1"/>
      <c r="T236" s="14"/>
      <c r="U236" s="1"/>
      <c r="V236" s="1"/>
      <c r="W236" s="1"/>
      <c r="X236" s="1"/>
      <c r="Y236" s="1"/>
      <c r="Z236" s="1"/>
      <c r="AA236" s="1"/>
      <c r="AB236" s="1"/>
      <c r="AC236" s="1"/>
      <c r="AD236" s="1"/>
      <c r="AE236" s="13"/>
    </row>
    <row r="237" spans="2:31" ht="15.75" hidden="1" customHeight="1">
      <c r="B237" s="103"/>
      <c r="C237" s="335"/>
      <c r="D237" s="440"/>
      <c r="E237" s="441"/>
      <c r="F237" s="441"/>
      <c r="G237" s="441"/>
      <c r="H237" s="441"/>
      <c r="I237" s="441"/>
      <c r="J237" s="441"/>
      <c r="K237" s="441"/>
      <c r="L237" s="441"/>
      <c r="M237" s="441"/>
      <c r="N237" s="441"/>
      <c r="O237" s="442"/>
      <c r="P237" s="1"/>
      <c r="T237" s="14"/>
      <c r="AC237" s="1"/>
      <c r="AD237" s="1"/>
      <c r="AE237" s="13"/>
    </row>
    <row r="238" spans="2:31" ht="15.75" hidden="1" customHeight="1">
      <c r="B238" s="103"/>
      <c r="C238" s="335"/>
      <c r="D238" s="440"/>
      <c r="E238" s="441"/>
      <c r="F238" s="441"/>
      <c r="G238" s="441"/>
      <c r="H238" s="441"/>
      <c r="I238" s="441"/>
      <c r="J238" s="441"/>
      <c r="K238" s="441"/>
      <c r="L238" s="441"/>
      <c r="M238" s="441"/>
      <c r="N238" s="441"/>
      <c r="O238" s="442"/>
      <c r="P238" s="1"/>
      <c r="T238" s="14"/>
      <c r="AC238" s="1"/>
      <c r="AD238" s="1"/>
      <c r="AE238" s="13"/>
    </row>
    <row r="239" spans="2:31" ht="15.75" hidden="1" customHeight="1" thickBot="1">
      <c r="B239" s="103"/>
      <c r="C239" s="335"/>
      <c r="D239" s="443"/>
      <c r="E239" s="444"/>
      <c r="F239" s="444"/>
      <c r="G239" s="444"/>
      <c r="H239" s="444"/>
      <c r="I239" s="444"/>
      <c r="J239" s="444"/>
      <c r="K239" s="444"/>
      <c r="L239" s="444"/>
      <c r="M239" s="444"/>
      <c r="N239" s="444"/>
      <c r="O239" s="445"/>
      <c r="P239" s="1"/>
      <c r="T239" s="14"/>
      <c r="AC239" s="1"/>
      <c r="AD239" s="1"/>
      <c r="AE239" s="13"/>
    </row>
    <row r="240" spans="2:31" ht="16.5" hidden="1" customHeight="1">
      <c r="B240" s="103"/>
      <c r="C240" s="335"/>
      <c r="D240" s="60"/>
      <c r="E240" s="335"/>
      <c r="F240" s="335"/>
      <c r="G240" s="335"/>
      <c r="H240" s="335"/>
      <c r="I240" s="335"/>
      <c r="J240" s="335"/>
      <c r="K240" s="335"/>
      <c r="L240" s="335"/>
      <c r="M240" s="335"/>
      <c r="N240" s="335"/>
      <c r="O240" s="335"/>
      <c r="P240" s="1"/>
      <c r="T240" s="14"/>
      <c r="U240" s="1"/>
      <c r="V240" s="1"/>
      <c r="W240" s="1"/>
      <c r="X240" s="1"/>
      <c r="Y240" s="1"/>
      <c r="Z240" s="1"/>
      <c r="AA240" s="1"/>
      <c r="AB240" s="1"/>
      <c r="AC240" s="1"/>
      <c r="AD240" s="1"/>
      <c r="AE240" s="13"/>
    </row>
    <row r="241" spans="2:31" ht="15.75">
      <c r="B241" s="103"/>
      <c r="C241" s="78"/>
      <c r="D241" s="78"/>
      <c r="E241" s="78"/>
      <c r="F241" s="78"/>
      <c r="G241" s="78"/>
      <c r="H241" s="78"/>
      <c r="I241" s="78"/>
      <c r="J241" s="78"/>
      <c r="K241" s="78"/>
      <c r="L241" s="78"/>
      <c r="M241" s="78"/>
      <c r="N241" s="78"/>
      <c r="O241" s="78"/>
      <c r="P241" s="1"/>
      <c r="T241" s="14"/>
      <c r="U241" s="448" t="s">
        <v>72</v>
      </c>
      <c r="V241" s="448"/>
      <c r="W241" s="448"/>
      <c r="X241" s="448"/>
      <c r="Y241" s="448"/>
      <c r="Z241" s="1"/>
      <c r="AA241" s="14"/>
      <c r="AB241" s="332" t="str">
        <f>IF('Mon Entreprise'!K8&lt;=Annexes!Q26,"Oui","Non")</f>
        <v>Oui</v>
      </c>
      <c r="AC241" s="1"/>
      <c r="AD241" s="1"/>
      <c r="AE241" s="13"/>
    </row>
    <row r="242" spans="2:31" ht="15.75">
      <c r="B242" s="103"/>
      <c r="C242" s="335"/>
      <c r="D242" s="60"/>
      <c r="E242" s="335"/>
      <c r="F242" s="335"/>
      <c r="G242" s="335"/>
      <c r="H242" s="335"/>
      <c r="I242" s="335"/>
      <c r="J242" s="335"/>
      <c r="K242" s="335"/>
      <c r="L242" s="335"/>
      <c r="M242" s="335"/>
      <c r="N242" s="335"/>
      <c r="O242" s="335"/>
      <c r="P242" s="1"/>
      <c r="T242" s="14"/>
      <c r="U242" s="330"/>
      <c r="V242" s="448" t="s">
        <v>393</v>
      </c>
      <c r="W242" s="448"/>
      <c r="X242" s="448"/>
      <c r="Y242" s="448"/>
      <c r="Z242" s="1"/>
      <c r="AA242" s="14"/>
      <c r="AB242" s="332">
        <f>IF('Mon Entreprise'!K8&gt;=Annexes!O20,IF(Y233&gt;=Y235,Y233,Y235),IF(Y233&gt;=Y234,Y233,Y234))</f>
        <v>0</v>
      </c>
      <c r="AC242" s="1"/>
      <c r="AD242" s="1"/>
      <c r="AE242" s="13"/>
    </row>
    <row r="243" spans="2:31" ht="15.75">
      <c r="B243" s="103"/>
      <c r="C243" s="335" t="s">
        <v>310</v>
      </c>
      <c r="D243" s="60"/>
      <c r="E243" s="335"/>
      <c r="F243" s="335"/>
      <c r="G243" s="335"/>
      <c r="H243" s="335"/>
      <c r="I243" s="335"/>
      <c r="J243" s="335"/>
      <c r="K243" s="335"/>
      <c r="L243" s="335"/>
      <c r="M243" s="335"/>
      <c r="N243" s="335"/>
      <c r="O243" s="335"/>
      <c r="P243" s="1"/>
      <c r="T243" s="14"/>
      <c r="U243" s="448" t="s">
        <v>84</v>
      </c>
      <c r="V243" s="448"/>
      <c r="W243" s="448"/>
      <c r="X243" s="448"/>
      <c r="Y243" s="448"/>
      <c r="Z243" s="1"/>
      <c r="AA243" s="14"/>
      <c r="AB243" s="333">
        <f>IF('Mon Entreprise'!K8&gt;=Annexes!O20,IF(AB233&gt;=AB235,AB233,AB235),IF(AB233&gt;=AB234,AB233,AB234))</f>
        <v>0</v>
      </c>
      <c r="AC243" s="1"/>
      <c r="AD243" s="1"/>
      <c r="AE243" s="13"/>
    </row>
    <row r="244" spans="2:31" ht="15.75">
      <c r="B244" s="169"/>
      <c r="C244" s="335"/>
      <c r="D244" s="60" t="str">
        <f>IFERROR(IF('Mon Entreprise'!K8&gt;=Annexes!O20,IF(AB233&gt;=AB235,"Le CA de référence est celui de Février 2019, soit une perte de "&amp;ROUND(AB233,0)&amp;" €"&amp;" ==&gt; "&amp;ROUND(AE233*100,0)&amp;" %","Le CA de référence est celui de la création, soit une perte de "&amp;ROUND(AB235,0)&amp;" €"&amp;" ==&gt; "&amp;ROUND(AE235*100,0)&amp;" %"),IF(AB233&gt;=AB234,"Le CA de référence est celui de Février 2019, soit une perte de "&amp;ROUND(AB233,0)&amp;" €"&amp;" ==&gt; "&amp;ROUND(AE233*100,0)&amp;" %","Le CA de référence est celui de de l'exercice 2019, soit une perte de "&amp;ROUND(AB234,0)&amp;" €"&amp;" ==&gt; "&amp;ROUND(AE234*100,0)&amp;" %")),"")</f>
        <v>Le CA de référence est celui de Février 2019, soit une perte de 0 € ==&gt; 0 %</v>
      </c>
      <c r="E244" s="335"/>
      <c r="F244" s="335"/>
      <c r="G244" s="335"/>
      <c r="H244" s="335"/>
      <c r="I244" s="335"/>
      <c r="J244" s="335"/>
      <c r="K244" s="335"/>
      <c r="L244" s="335"/>
      <c r="M244" s="335"/>
      <c r="N244" s="335"/>
      <c r="O244" s="335"/>
      <c r="P244" s="1"/>
      <c r="T244" s="14"/>
      <c r="U244" s="448" t="s">
        <v>85</v>
      </c>
      <c r="V244" s="448"/>
      <c r="W244" s="448"/>
      <c r="X244" s="448"/>
      <c r="Y244" s="448"/>
      <c r="Z244" s="1"/>
      <c r="AA244" s="14"/>
      <c r="AB244" s="19">
        <f>IF('Mon Entreprise'!K8&gt;=Annexes!O20,IF(AB233&gt;=AB235,AE233,AE235),IF(AB233&gt;=AB234,AE233,AE234))</f>
        <v>0</v>
      </c>
      <c r="AC244" s="1"/>
      <c r="AD244" s="1"/>
      <c r="AE244" s="13"/>
    </row>
    <row r="245" spans="2:31" ht="16.5" thickBot="1">
      <c r="B245" s="103"/>
      <c r="C245" s="335"/>
      <c r="D245" s="60"/>
      <c r="E245" s="335"/>
      <c r="F245" s="335"/>
      <c r="G245" s="335"/>
      <c r="H245" s="335"/>
      <c r="I245" s="335"/>
      <c r="J245" s="335"/>
      <c r="K245" s="335"/>
      <c r="L245" s="335"/>
      <c r="M245" s="335"/>
      <c r="N245" s="335"/>
      <c r="O245" s="335"/>
      <c r="P245" s="1"/>
      <c r="T245" s="14"/>
      <c r="U245" s="1"/>
      <c r="V245" s="1"/>
      <c r="W245" s="1"/>
      <c r="X245" s="1"/>
      <c r="Y245" s="1"/>
      <c r="Z245" s="1"/>
      <c r="AA245" s="1"/>
      <c r="AB245" s="1"/>
      <c r="AC245" s="1"/>
      <c r="AD245" s="1"/>
      <c r="AE245" s="13"/>
    </row>
    <row r="246" spans="2:31" ht="15.75">
      <c r="B246" s="169"/>
      <c r="C246" s="335"/>
      <c r="D246" s="450" t="str">
        <f>IFERROR(IF(AB241="Non","Vous avez débuté votre activité après le 31 Octobre 2020, vous ne pouvez donc pas bénéficier de cette aide",IF(AB244&gt;=0.5,IF(AB243&gt;Annexes!O5,"Dans votre cas, l'aide est Plafonnée, à "&amp;Annexes!O5&amp;" € pour le mois de Février","Vous pouvez bénéficier, au titre de cette aide, d'un montant de "&amp;ROUND(AB243,0)&amp;" € pour le mois de Février"),"L'entreprise n'a pas une perte d'au moins 50 % en Février 2021")),"Vous n'avez pas indiqué de chiffre d'affaires de référence")</f>
        <v>L'entreprise n'a pas une perte d'au moins 50 % en Février 2021</v>
      </c>
      <c r="E246" s="451"/>
      <c r="F246" s="451"/>
      <c r="G246" s="451"/>
      <c r="H246" s="451"/>
      <c r="I246" s="451"/>
      <c r="J246" s="451"/>
      <c r="K246" s="451"/>
      <c r="L246" s="451"/>
      <c r="M246" s="451"/>
      <c r="N246" s="451"/>
      <c r="O246" s="452"/>
      <c r="P246" s="1"/>
      <c r="T246" s="14"/>
      <c r="U246" s="1"/>
      <c r="V246" s="1"/>
      <c r="W246" s="1"/>
      <c r="X246" s="1"/>
      <c r="Y246" s="1"/>
      <c r="Z246" s="1"/>
      <c r="AA246" s="1"/>
      <c r="AB246" s="1"/>
      <c r="AC246" s="1"/>
      <c r="AD246" s="1"/>
      <c r="AE246" s="13"/>
    </row>
    <row r="247" spans="2:31" ht="15.75" customHeight="1">
      <c r="B247" s="169"/>
      <c r="C247" s="335"/>
      <c r="D247" s="453"/>
      <c r="E247" s="454"/>
      <c r="F247" s="454"/>
      <c r="G247" s="454"/>
      <c r="H247" s="454"/>
      <c r="I247" s="454"/>
      <c r="J247" s="454"/>
      <c r="K247" s="454"/>
      <c r="L247" s="454"/>
      <c r="M247" s="454"/>
      <c r="N247" s="454"/>
      <c r="O247" s="455"/>
      <c r="P247" s="1"/>
      <c r="T247" s="14"/>
      <c r="U247" s="1"/>
      <c r="V247" s="1"/>
      <c r="W247" s="1"/>
      <c r="X247" s="1"/>
      <c r="Y247" s="1"/>
      <c r="Z247" s="1"/>
      <c r="AA247" s="1"/>
      <c r="AB247" s="1"/>
      <c r="AC247" s="1"/>
      <c r="AD247" s="1"/>
      <c r="AE247" s="13"/>
    </row>
    <row r="248" spans="2:31" ht="15.75" customHeight="1">
      <c r="B248" s="103"/>
      <c r="C248" s="335"/>
      <c r="D248" s="453"/>
      <c r="E248" s="454"/>
      <c r="F248" s="454"/>
      <c r="G248" s="454"/>
      <c r="H248" s="454"/>
      <c r="I248" s="454"/>
      <c r="J248" s="454"/>
      <c r="K248" s="454"/>
      <c r="L248" s="454"/>
      <c r="M248" s="454"/>
      <c r="N248" s="454"/>
      <c r="O248" s="455"/>
      <c r="P248" s="1"/>
      <c r="T248" s="14"/>
      <c r="U248" s="1"/>
      <c r="V248" s="1"/>
      <c r="W248" s="1"/>
      <c r="X248" s="1"/>
      <c r="Y248" s="1"/>
      <c r="Z248" s="1"/>
      <c r="AA248" s="1"/>
      <c r="AB248" s="1"/>
      <c r="AC248" s="1"/>
      <c r="AD248" s="1"/>
      <c r="AE248" s="13"/>
    </row>
    <row r="249" spans="2:31" ht="15.75" customHeight="1" thickBot="1">
      <c r="B249" s="103"/>
      <c r="C249" s="335"/>
      <c r="D249" s="456"/>
      <c r="E249" s="457"/>
      <c r="F249" s="457"/>
      <c r="G249" s="457"/>
      <c r="H249" s="457"/>
      <c r="I249" s="457"/>
      <c r="J249" s="457"/>
      <c r="K249" s="457"/>
      <c r="L249" s="457"/>
      <c r="M249" s="457"/>
      <c r="N249" s="457"/>
      <c r="O249" s="458"/>
      <c r="P249" s="1"/>
      <c r="T249" s="14"/>
      <c r="U249" s="1"/>
      <c r="V249" s="1"/>
      <c r="W249" s="1"/>
      <c r="X249" s="1"/>
      <c r="Y249" s="1"/>
      <c r="Z249" s="1"/>
      <c r="AA249" s="1"/>
      <c r="AB249" s="1"/>
      <c r="AC249" s="1"/>
      <c r="AD249" s="1"/>
      <c r="AE249" s="13"/>
    </row>
    <row r="250" spans="2:31" ht="16.5" customHeight="1">
      <c r="B250" s="103"/>
      <c r="C250" s="170"/>
      <c r="D250" s="459" t="s">
        <v>395</v>
      </c>
      <c r="E250" s="459"/>
      <c r="F250" s="459"/>
      <c r="G250" s="459"/>
      <c r="H250" s="459"/>
      <c r="I250" s="459"/>
      <c r="J250" s="459"/>
      <c r="K250" s="459"/>
      <c r="L250" s="459"/>
      <c r="M250" s="459"/>
      <c r="N250" s="459"/>
      <c r="O250" s="459"/>
      <c r="P250" s="1"/>
      <c r="T250" s="460" t="s">
        <v>4</v>
      </c>
      <c r="U250" s="461"/>
      <c r="V250" s="461"/>
      <c r="W250" s="461"/>
      <c r="X250" s="461"/>
      <c r="Y250" s="461"/>
      <c r="Z250" s="139"/>
      <c r="AA250" s="145"/>
      <c r="AB250" s="195">
        <f>IFERROR(IF('Mon Entreprise'!K8&gt;=Annexes!Q18,0,1-'Mon Entreprise'!M93/2/AB242),0)</f>
        <v>0</v>
      </c>
      <c r="AC250" s="1"/>
      <c r="AD250" s="1"/>
      <c r="AE250" s="13"/>
    </row>
    <row r="251" spans="2:31" ht="16.5" customHeight="1">
      <c r="B251" s="103"/>
      <c r="C251" s="335"/>
      <c r="D251" s="309"/>
      <c r="E251" s="309"/>
      <c r="F251" s="309"/>
      <c r="G251" s="309"/>
      <c r="H251" s="309"/>
      <c r="I251" s="309"/>
      <c r="J251" s="309"/>
      <c r="K251" s="309"/>
      <c r="L251" s="309"/>
      <c r="M251" s="309"/>
      <c r="N251" s="309"/>
      <c r="O251" s="309"/>
      <c r="P251" s="1"/>
      <c r="T251" s="110"/>
      <c r="U251" s="462" t="s">
        <v>102</v>
      </c>
      <c r="V251" s="462"/>
      <c r="W251" s="462"/>
      <c r="X251" s="462"/>
      <c r="Y251" s="462"/>
      <c r="Z251" s="139"/>
      <c r="AA251" s="145"/>
      <c r="AB251" s="195">
        <f>IFERROR(IF('Mon Entreprise'!K8&gt;Annexes!Q26,0,1-'Mon Entreprise'!M89/AB242),0)</f>
        <v>0</v>
      </c>
      <c r="AC251" s="1"/>
      <c r="AD251" s="1"/>
      <c r="AE251" s="13"/>
    </row>
    <row r="252" spans="2:31" ht="16.5" customHeight="1">
      <c r="B252" s="103"/>
      <c r="C252" s="463" t="s">
        <v>422</v>
      </c>
      <c r="D252" s="463"/>
      <c r="E252" s="463"/>
      <c r="F252" s="463"/>
      <c r="G252" s="463"/>
      <c r="H252" s="463"/>
      <c r="I252" s="463"/>
      <c r="J252" s="463"/>
      <c r="K252" s="463"/>
      <c r="L252" s="463"/>
      <c r="M252" s="463"/>
      <c r="N252" s="463"/>
      <c r="O252" s="463"/>
      <c r="P252" s="1"/>
      <c r="T252" s="110"/>
      <c r="U252" s="462" t="s">
        <v>109</v>
      </c>
      <c r="V252" s="462"/>
      <c r="W252" s="462"/>
      <c r="X252" s="462"/>
      <c r="Y252" s="462"/>
      <c r="Z252" s="139"/>
      <c r="AA252" s="145"/>
      <c r="AB252" s="195">
        <f>IFERROR(IF(Annexes!O27&gt;'Mon Entreprise'!K8,1-'Mon Entreprise'!M73/'Mon Entreprise'!I73,0),0)</f>
        <v>0</v>
      </c>
      <c r="AC252" s="1"/>
      <c r="AD252" s="1"/>
      <c r="AE252" s="13"/>
    </row>
    <row r="253" spans="2:31" ht="16.5" customHeight="1">
      <c r="B253" s="103"/>
      <c r="C253" s="463"/>
      <c r="D253" s="463"/>
      <c r="E253" s="463"/>
      <c r="F253" s="463"/>
      <c r="G253" s="463"/>
      <c r="H253" s="463"/>
      <c r="I253" s="463"/>
      <c r="J253" s="463"/>
      <c r="K253" s="463"/>
      <c r="L253" s="463"/>
      <c r="M253" s="463"/>
      <c r="N253" s="463"/>
      <c r="O253" s="463"/>
      <c r="P253" s="1"/>
      <c r="T253" s="110"/>
      <c r="U253" s="329"/>
      <c r="V253" s="329"/>
      <c r="W253" s="329"/>
      <c r="X253" s="329"/>
      <c r="Y253" s="329"/>
      <c r="Z253" s="139"/>
      <c r="AA253" s="145"/>
      <c r="AB253" s="195"/>
      <c r="AC253" s="1"/>
      <c r="AD253" s="1"/>
      <c r="AE253" s="13"/>
    </row>
    <row r="254" spans="2:31" ht="16.5" customHeight="1">
      <c r="B254" s="103"/>
      <c r="C254" s="463"/>
      <c r="D254" s="463"/>
      <c r="E254" s="463"/>
      <c r="F254" s="463"/>
      <c r="G254" s="463"/>
      <c r="H254" s="463"/>
      <c r="I254" s="463"/>
      <c r="J254" s="463"/>
      <c r="K254" s="463"/>
      <c r="L254" s="463"/>
      <c r="M254" s="463"/>
      <c r="N254" s="463"/>
      <c r="O254" s="463"/>
      <c r="P254" s="1"/>
      <c r="T254" s="14"/>
      <c r="U254" s="464" t="s">
        <v>8</v>
      </c>
      <c r="V254" s="464"/>
      <c r="W254" s="464"/>
      <c r="X254" s="464"/>
      <c r="Y254" s="464"/>
      <c r="Z254" s="1"/>
      <c r="AA254" s="14"/>
      <c r="AB254" s="333" t="str">
        <f>IF((AND(Annexes!F5&gt;1,Annexes!F5&lt;=Annexes!H6)),"OUI","NON")</f>
        <v>NON</v>
      </c>
      <c r="AC254" s="1"/>
      <c r="AD254" s="1"/>
      <c r="AE254" s="13"/>
    </row>
    <row r="255" spans="2:31" ht="16.5" customHeight="1">
      <c r="B255" s="103"/>
      <c r="C255" s="463"/>
      <c r="D255" s="463"/>
      <c r="E255" s="463"/>
      <c r="F255" s="463"/>
      <c r="G255" s="463"/>
      <c r="H255" s="463"/>
      <c r="I255" s="463"/>
      <c r="J255" s="463"/>
      <c r="K255" s="463"/>
      <c r="L255" s="463"/>
      <c r="M255" s="463"/>
      <c r="N255" s="463"/>
      <c r="O255" s="463"/>
      <c r="P255" s="1"/>
      <c r="T255" s="14"/>
      <c r="U255" s="337"/>
      <c r="V255" s="337"/>
      <c r="W255" s="337"/>
      <c r="X255" s="337"/>
      <c r="Y255" s="337" t="s">
        <v>9</v>
      </c>
      <c r="Z255" s="1"/>
      <c r="AA255" s="14"/>
      <c r="AB255" s="333" t="str">
        <f>IF(AND(Annexes!F7&gt;1,Annexes!F7&lt;=Annexes!H8),"OUI","NON")</f>
        <v>NON</v>
      </c>
      <c r="AC255" s="1"/>
      <c r="AD255" s="1"/>
      <c r="AE255" s="13"/>
    </row>
    <row r="256" spans="2:31" ht="16.5" customHeight="1">
      <c r="B256" s="103"/>
      <c r="C256" s="335"/>
      <c r="D256" s="309"/>
      <c r="E256" s="359" t="str">
        <f>IF('Mon Entreprise'!K8&gt;Annexes!Q24,"",IF(OR(AB254="OUI",AND(OR(AB256="OUI",AB257="OUI",AB255="OUI"),OR(AB250&gt;=Annexes!P5,AB251&gt;=Annexes!P5,'Mes Aides'!AB145&gt;=0.1)),AB258=TRUE),"",IF(AND(OR(AB256="OUI",AB257="OUI",AB255="OUI"),OR(AB250&lt;Annexes!P5,AB251&lt;Annexes!P5,'Mes Aides'!AB198&lt;0.1)),"L'entreprise fait partie des entreprises mentionnées en annexe 2 ou 3 du décret mais n'a pas eu une perte de CA d'au-Moins 80 %, entre le 15/03/2020 et le 15/05/2020,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256" s="359"/>
      <c r="G256" s="359"/>
      <c r="H256" s="359"/>
      <c r="I256" s="359"/>
      <c r="J256" s="359"/>
      <c r="K256" s="359"/>
      <c r="L256" s="359"/>
      <c r="M256" s="359"/>
      <c r="N256" s="359"/>
      <c r="O256" s="359"/>
      <c r="P256" s="1"/>
      <c r="T256" s="436" t="s">
        <v>415</v>
      </c>
      <c r="U256" s="435"/>
      <c r="V256" s="435"/>
      <c r="W256" s="435"/>
      <c r="X256" s="435"/>
      <c r="Y256" s="435"/>
      <c r="Z256" s="1"/>
      <c r="AA256" s="14"/>
      <c r="AB256" s="333" t="str">
        <f>IF(OR(Annexes!M17=TRUE,Annexes!M23=TRUE),"OUI","NON")</f>
        <v>NON</v>
      </c>
      <c r="AC256" s="1"/>
      <c r="AD256" s="1"/>
      <c r="AE256" s="13"/>
    </row>
    <row r="257" spans="1:31" ht="16.5" customHeight="1">
      <c r="B257" s="103"/>
      <c r="C257" s="335"/>
      <c r="D257" s="309"/>
      <c r="E257" s="359"/>
      <c r="F257" s="359"/>
      <c r="G257" s="359"/>
      <c r="H257" s="359"/>
      <c r="I257" s="359"/>
      <c r="J257" s="359"/>
      <c r="K257" s="359"/>
      <c r="L257" s="359"/>
      <c r="M257" s="359"/>
      <c r="N257" s="359"/>
      <c r="O257" s="359"/>
      <c r="P257" s="1"/>
      <c r="T257" s="334"/>
      <c r="U257" s="435" t="s">
        <v>305</v>
      </c>
      <c r="V257" s="435"/>
      <c r="W257" s="435"/>
      <c r="X257" s="435"/>
      <c r="Y257" s="435"/>
      <c r="Z257" s="1"/>
      <c r="AA257" s="14"/>
      <c r="AB257" s="333" t="str">
        <f>IF(OR(Annexes!M17=TRUE,Annexes!M23=TRUE),"OUI","NON")</f>
        <v>NON</v>
      </c>
      <c r="AC257" s="1"/>
      <c r="AD257" s="1"/>
      <c r="AE257" s="13"/>
    </row>
    <row r="258" spans="1:31" ht="16.5" customHeight="1">
      <c r="B258" s="169"/>
      <c r="C258" s="335"/>
      <c r="D258" s="309"/>
      <c r="E258" s="359"/>
      <c r="F258" s="359"/>
      <c r="G258" s="359"/>
      <c r="H258" s="359"/>
      <c r="I258" s="359"/>
      <c r="J258" s="359"/>
      <c r="K258" s="359"/>
      <c r="L258" s="359"/>
      <c r="M258" s="359"/>
      <c r="N258" s="359"/>
      <c r="O258" s="359"/>
      <c r="P258" s="1"/>
      <c r="T258" s="14"/>
      <c r="U258" s="435" t="s">
        <v>313</v>
      </c>
      <c r="V258" s="435"/>
      <c r="W258" s="435"/>
      <c r="X258" s="435"/>
      <c r="Y258" s="435"/>
      <c r="Z258" s="1"/>
      <c r="AA258" s="14"/>
      <c r="AB258" s="333" t="b">
        <f>IF(Annexes!M21=TRUE,TRUE,FALSE)</f>
        <v>0</v>
      </c>
      <c r="AC258" s="1"/>
      <c r="AD258" s="1"/>
      <c r="AE258" s="13"/>
    </row>
    <row r="259" spans="1:31" ht="16.5" customHeight="1">
      <c r="A259" s="99"/>
      <c r="B259" s="103"/>
      <c r="C259" s="335"/>
      <c r="D259" s="465"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59" s="465"/>
      <c r="F259" s="465"/>
      <c r="G259" s="465"/>
      <c r="H259" s="465"/>
      <c r="I259" s="465"/>
      <c r="J259" s="465"/>
      <c r="K259" s="465"/>
      <c r="L259" s="465"/>
      <c r="M259" s="465"/>
      <c r="N259" s="465"/>
      <c r="O259" s="465"/>
      <c r="P259" s="1"/>
      <c r="T259" s="14"/>
      <c r="U259" s="467" t="s">
        <v>72</v>
      </c>
      <c r="V259" s="467"/>
      <c r="W259" s="467"/>
      <c r="X259" s="467"/>
      <c r="Y259" s="467"/>
      <c r="Z259" s="139"/>
      <c r="AA259" s="145"/>
      <c r="AB259" s="332" t="str">
        <f>IF('Mon Entreprise'!K8&lt;=Annexes!Q26,"Oui","Non")</f>
        <v>Oui</v>
      </c>
      <c r="AC259" s="139"/>
      <c r="AD259" s="1"/>
      <c r="AE259" s="13"/>
    </row>
    <row r="260" spans="1:31" ht="16.5" customHeight="1">
      <c r="B260" s="103"/>
      <c r="C260" s="335"/>
      <c r="D260" s="216" t="str">
        <f>IF(OR(AB254="OUI",AB258=TRUE),"- Sans ticket modérateur",IF(AND(OR(AB256="OUI",AB255="OUI"),OR(AB250&gt;=0.8,AB251&gt;=0.8,AB252&gt;=0.1)),"- La Perte de référence est plafonnée à 80 %, soit "&amp;ROUND(AB264,0)&amp;" €","- Sans ticket modérateur"))</f>
        <v>- Sans ticket modérateur</v>
      </c>
      <c r="E260" s="328"/>
      <c r="F260" s="328"/>
      <c r="G260" s="328"/>
      <c r="H260" s="328"/>
      <c r="I260" s="328"/>
      <c r="J260" s="328"/>
      <c r="K260" s="328"/>
      <c r="L260" s="328"/>
      <c r="M260" s="328"/>
      <c r="N260" s="328"/>
      <c r="O260" s="328"/>
      <c r="P260" s="1"/>
      <c r="T260" s="14"/>
      <c r="U260" s="467" t="s">
        <v>84</v>
      </c>
      <c r="V260" s="467"/>
      <c r="W260" s="467"/>
      <c r="X260" s="467"/>
      <c r="Y260" s="467"/>
      <c r="Z260" s="139"/>
      <c r="AA260" s="145"/>
      <c r="AB260" s="332">
        <f>IF('Mon Entreprise'!K8&gt;=Annexes!O20,IF(AB233&gt;=AB235,AB233,AB235),IF(AB233&gt;=AB234,AB233,AB234))</f>
        <v>0</v>
      </c>
      <c r="AC260" s="139"/>
      <c r="AD260" s="1"/>
      <c r="AE260" s="13"/>
    </row>
    <row r="261" spans="1:31" ht="16.5" customHeight="1" thickBot="1">
      <c r="B261" s="103"/>
      <c r="C261" s="335"/>
      <c r="D261" s="328"/>
      <c r="E261" s="328"/>
      <c r="F261" s="328"/>
      <c r="G261" s="328"/>
      <c r="H261" s="328"/>
      <c r="I261" s="328"/>
      <c r="J261" s="328"/>
      <c r="K261" s="328"/>
      <c r="L261" s="328"/>
      <c r="M261" s="328"/>
      <c r="N261" s="328"/>
      <c r="O261" s="328"/>
      <c r="P261" s="1"/>
      <c r="T261" s="14"/>
      <c r="U261" s="467" t="s">
        <v>85</v>
      </c>
      <c r="V261" s="467"/>
      <c r="W261" s="467"/>
      <c r="X261" s="467"/>
      <c r="Y261" s="467"/>
      <c r="Z261" s="139"/>
      <c r="AA261" s="145"/>
      <c r="AB261" s="332">
        <f>IF('Mon Entreprise'!K8&gt;=Annexes!O20,IF(AB233&gt;=AB235,AE233,AE235),IF(AB233&gt;=AB234,AE233,AE234))</f>
        <v>0</v>
      </c>
      <c r="AC261" s="139"/>
      <c r="AD261" s="1"/>
      <c r="AE261" s="13"/>
    </row>
    <row r="262" spans="1:31" ht="16.5" customHeight="1">
      <c r="B262" s="103"/>
      <c r="C262" s="335"/>
      <c r="D262" s="450" t="str">
        <f>IFERROR(IF('Mon Entreprise'!K8&gt;Annexes!Q26,"Vous avez débuté votre activité après le 31 Octobre 2020, vous ne pouvez donc pas bénéficier de cette aide",IF(AB258=TRUE,IF(AB264&gt;Annexes!O6,"Dans votre cas, l'aide est Plafonnée, à "&amp;Annexes!O6&amp;" € pour le mois de Février","Vous pouvez bénéficier, au titre de cette aide, d'un montant de "&amp;ROUND(AB264,0)&amp;" € pour le mois de Février"),IF(AB261&gt;=0.5,IF(OR(AB254="OUI",AND(OR(AB256="OUI",AB255="OUI"),OR(AB250&gt;=Annexes!P5,AB251&gt;=Annexes!P5,AB252&gt;=0.1))),IF(AB264&gt;Annexes!O6,"Dans votre cas, l'aide est Plafonnée, à "&amp;Annexes!O6&amp;" € pour le mois de Février","Vous pouvez bénéficier, au titre de cette aide, d'un montant de "&amp;ROUND(AB264,0)&amp;" € pour le mois de Février"),IF(AND(OR(AB256="OUI",AB255="OUI"),OR(AB250&lt;Annexes!P5,AB251&lt;Annexes!P5)),"L'entreprise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Février 2021"))),"Vous n'avez pas indiqué de chiffre d'affaires de référence")</f>
        <v>L'entreprise n'a pas une perte d'au moins 50 % en Février 2021</v>
      </c>
      <c r="E262" s="451"/>
      <c r="F262" s="451"/>
      <c r="G262" s="451"/>
      <c r="H262" s="451"/>
      <c r="I262" s="451"/>
      <c r="J262" s="451"/>
      <c r="K262" s="451"/>
      <c r="L262" s="451"/>
      <c r="M262" s="451"/>
      <c r="N262" s="451"/>
      <c r="O262" s="452"/>
      <c r="P262" s="1"/>
      <c r="T262" s="14"/>
      <c r="U262" s="447" t="s">
        <v>74</v>
      </c>
      <c r="V262" s="447"/>
      <c r="W262" s="447"/>
      <c r="X262" s="447"/>
      <c r="Y262" s="447"/>
      <c r="Z262" s="139"/>
      <c r="AA262" s="145"/>
      <c r="AB262" s="332">
        <f>IF(OR(AB254="OUI",AB258=TRUE),1,IF(AND(OR(AB256="OUI",AB255="OUI"),OR(AB250&gt;=0.8,AB251&gt;=0.8,AB252&gt;=0.1)),0.8,1))</f>
        <v>1</v>
      </c>
      <c r="AC262" s="139"/>
      <c r="AD262" s="1"/>
      <c r="AE262" s="13"/>
    </row>
    <row r="263" spans="1:31" ht="16.5" customHeight="1">
      <c r="B263" s="174"/>
      <c r="C263" s="335"/>
      <c r="D263" s="453"/>
      <c r="E263" s="454"/>
      <c r="F263" s="454"/>
      <c r="G263" s="454"/>
      <c r="H263" s="454"/>
      <c r="I263" s="454"/>
      <c r="J263" s="454"/>
      <c r="K263" s="454"/>
      <c r="L263" s="454"/>
      <c r="M263" s="454"/>
      <c r="N263" s="454"/>
      <c r="O263" s="455"/>
      <c r="P263" s="1"/>
      <c r="T263" s="14"/>
      <c r="U263" s="447" t="s">
        <v>80</v>
      </c>
      <c r="V263" s="447"/>
      <c r="W263" s="447"/>
      <c r="X263" s="447"/>
      <c r="Y263" s="447"/>
      <c r="Z263" s="139"/>
      <c r="AA263" s="145"/>
      <c r="AB263" s="332">
        <f>IF('Mon Entreprise'!K8&gt;=Annexes!O20,IF(AB233&gt;=AB235,Y233,Y235),IF(AB233&gt;=AB234,Y233,Y234))</f>
        <v>0</v>
      </c>
      <c r="AC263" s="139"/>
      <c r="AD263" s="1"/>
      <c r="AE263" s="13"/>
    </row>
    <row r="264" spans="1:31" ht="16.5" customHeight="1">
      <c r="B264" s="103"/>
      <c r="C264" s="335"/>
      <c r="D264" s="453"/>
      <c r="E264" s="454"/>
      <c r="F264" s="454"/>
      <c r="G264" s="454"/>
      <c r="H264" s="454"/>
      <c r="I264" s="454"/>
      <c r="J264" s="454"/>
      <c r="K264" s="454"/>
      <c r="L264" s="454"/>
      <c r="M264" s="454"/>
      <c r="N264" s="454"/>
      <c r="O264" s="455"/>
      <c r="P264" s="1"/>
      <c r="T264" s="14"/>
      <c r="U264" s="435" t="s">
        <v>104</v>
      </c>
      <c r="V264" s="435"/>
      <c r="W264" s="435"/>
      <c r="X264" s="435"/>
      <c r="Y264" s="435"/>
      <c r="Z264" s="1"/>
      <c r="AA264" s="14"/>
      <c r="AB264" s="333">
        <f>IF(AB262=1,AB260,IF(AB260*AB262&gt;1500,IF(AB260&gt;1500,AB260*AB262,"Impossible"),IF(AB260&lt;1500,AB260,1500)))</f>
        <v>0</v>
      </c>
      <c r="AC264" s="1"/>
      <c r="AD264" s="1"/>
      <c r="AE264" s="13"/>
    </row>
    <row r="265" spans="1:31" ht="16.5" customHeight="1" thickBot="1">
      <c r="B265" s="103"/>
      <c r="C265" s="335"/>
      <c r="D265" s="456"/>
      <c r="E265" s="457"/>
      <c r="F265" s="457"/>
      <c r="G265" s="457"/>
      <c r="H265" s="457"/>
      <c r="I265" s="457"/>
      <c r="J265" s="457"/>
      <c r="K265" s="457"/>
      <c r="L265" s="457"/>
      <c r="M265" s="457"/>
      <c r="N265" s="457"/>
      <c r="O265" s="458"/>
      <c r="P265" s="1"/>
      <c r="T265" s="14"/>
      <c r="U265" s="333"/>
      <c r="V265" s="333"/>
      <c r="W265" s="333"/>
      <c r="X265" s="333"/>
      <c r="Y265" s="333"/>
      <c r="Z265" s="1"/>
      <c r="AA265" s="1"/>
      <c r="AB265" s="1"/>
      <c r="AC265" s="1"/>
      <c r="AD265" s="1"/>
      <c r="AE265" s="13"/>
    </row>
    <row r="266" spans="1:31" ht="16.5" customHeight="1">
      <c r="B266" s="103"/>
      <c r="C266" s="170"/>
      <c r="D266" s="175"/>
      <c r="E266" s="175"/>
      <c r="F266" s="175"/>
      <c r="G266" s="175"/>
      <c r="H266" s="175"/>
      <c r="I266" s="175"/>
      <c r="J266" s="175"/>
      <c r="K266" s="175"/>
      <c r="L266" s="175"/>
      <c r="M266" s="175"/>
      <c r="N266" s="175"/>
      <c r="O266" s="175"/>
      <c r="P266" s="1"/>
      <c r="T266" s="14"/>
      <c r="U266" s="435"/>
      <c r="V266" s="435"/>
      <c r="W266" s="435"/>
      <c r="X266" s="435"/>
      <c r="Y266" s="435"/>
      <c r="Z266" s="1"/>
      <c r="AA266" s="1"/>
      <c r="AB266" s="1"/>
      <c r="AC266" s="1"/>
      <c r="AD266" s="1"/>
      <c r="AE266" s="13"/>
    </row>
    <row r="267" spans="1:31" ht="16.5" customHeight="1">
      <c r="B267" s="103"/>
      <c r="C267" s="335"/>
      <c r="D267" s="328"/>
      <c r="E267" s="328"/>
      <c r="F267" s="328"/>
      <c r="G267" s="328"/>
      <c r="H267" s="328"/>
      <c r="I267" s="328"/>
      <c r="J267" s="328"/>
      <c r="K267" s="328"/>
      <c r="L267" s="328"/>
      <c r="M267" s="328"/>
      <c r="N267" s="328"/>
      <c r="O267" s="328"/>
      <c r="P267" s="1"/>
      <c r="T267" s="14"/>
      <c r="U267" s="333"/>
      <c r="V267" s="333"/>
      <c r="W267" s="333"/>
      <c r="X267" s="333"/>
      <c r="Y267" s="333"/>
      <c r="Z267" s="1"/>
      <c r="AA267" s="1"/>
      <c r="AB267" s="1"/>
      <c r="AC267" s="1"/>
      <c r="AD267" s="1"/>
      <c r="AE267" s="13"/>
    </row>
    <row r="268" spans="1:31" ht="16.5" customHeight="1">
      <c r="B268" s="103"/>
      <c r="C268" s="469" t="s">
        <v>421</v>
      </c>
      <c r="D268" s="469"/>
      <c r="E268" s="469"/>
      <c r="F268" s="469"/>
      <c r="G268" s="469"/>
      <c r="H268" s="469"/>
      <c r="I268" s="469"/>
      <c r="J268" s="469"/>
      <c r="K268" s="469"/>
      <c r="L268" s="469"/>
      <c r="M268" s="469"/>
      <c r="N268" s="469"/>
      <c r="O268" s="469"/>
      <c r="P268" s="1"/>
      <c r="T268" s="14"/>
      <c r="U268" s="1"/>
      <c r="V268" s="1"/>
      <c r="W268" s="1"/>
      <c r="X268" s="1"/>
      <c r="Y268" s="1"/>
      <c r="Z268" s="1"/>
      <c r="AA268" s="1"/>
      <c r="AB268" s="1"/>
      <c r="AC268" s="1"/>
      <c r="AD268" s="1"/>
      <c r="AE268" s="13"/>
    </row>
    <row r="269" spans="1:31" ht="16.5" customHeight="1">
      <c r="B269" s="103"/>
      <c r="C269" s="469"/>
      <c r="D269" s="469"/>
      <c r="E269" s="469"/>
      <c r="F269" s="469"/>
      <c r="G269" s="469"/>
      <c r="H269" s="469"/>
      <c r="I269" s="469"/>
      <c r="J269" s="469"/>
      <c r="K269" s="469"/>
      <c r="L269" s="469"/>
      <c r="M269" s="469"/>
      <c r="N269" s="469"/>
      <c r="O269" s="469"/>
      <c r="P269" s="1"/>
      <c r="T269" s="14"/>
      <c r="U269" s="1"/>
      <c r="V269" s="1"/>
      <c r="W269" s="1"/>
      <c r="X269" s="1"/>
      <c r="Y269" s="1"/>
      <c r="Z269" s="1"/>
      <c r="AA269" s="1"/>
      <c r="AB269" s="1"/>
      <c r="AC269" s="1"/>
      <c r="AD269" s="1"/>
      <c r="AE269" s="13"/>
    </row>
    <row r="270" spans="1:31" ht="16.5" customHeight="1">
      <c r="B270" s="103"/>
      <c r="C270" s="469"/>
      <c r="D270" s="469"/>
      <c r="E270" s="469"/>
      <c r="F270" s="469"/>
      <c r="G270" s="469"/>
      <c r="H270" s="469"/>
      <c r="I270" s="469"/>
      <c r="J270" s="469"/>
      <c r="K270" s="469"/>
      <c r="L270" s="469"/>
      <c r="M270" s="469"/>
      <c r="N270" s="469"/>
      <c r="O270" s="469"/>
      <c r="P270" s="1"/>
      <c r="T270" s="14"/>
      <c r="U270" s="1"/>
      <c r="V270" s="1"/>
      <c r="W270" s="1"/>
      <c r="X270" s="1"/>
      <c r="Y270" s="1"/>
      <c r="Z270" s="1"/>
      <c r="AA270" s="1"/>
      <c r="AB270" s="1"/>
      <c r="AC270" s="1"/>
      <c r="AD270" s="1"/>
      <c r="AE270" s="13"/>
    </row>
    <row r="271" spans="1:31" ht="16.5" customHeight="1">
      <c r="B271" s="174"/>
      <c r="C271" s="469"/>
      <c r="D271" s="469"/>
      <c r="E271" s="469"/>
      <c r="F271" s="469"/>
      <c r="G271" s="469"/>
      <c r="H271" s="469"/>
      <c r="I271" s="469"/>
      <c r="J271" s="469"/>
      <c r="K271" s="469"/>
      <c r="L271" s="469"/>
      <c r="M271" s="469"/>
      <c r="N271" s="469"/>
      <c r="O271" s="469"/>
      <c r="P271" s="1"/>
      <c r="T271" s="14"/>
      <c r="U271" s="447" t="s">
        <v>82</v>
      </c>
      <c r="V271" s="447"/>
      <c r="W271" s="447"/>
      <c r="X271" s="447"/>
      <c r="Y271" s="447"/>
      <c r="Z271" s="68"/>
      <c r="AA271" s="1"/>
      <c r="AB271" s="1">
        <f>IFERROR(IF(AB241="Non",0,IF(AB244&gt;=0.5,IF(AB243&gt;Annexes!O5,Annexes!O5,ROUND(AB243,0)),0)),0)</f>
        <v>0</v>
      </c>
      <c r="AC271" s="1"/>
      <c r="AD271" s="1"/>
      <c r="AE271" s="13"/>
    </row>
    <row r="272" spans="1:31" ht="16.5" customHeight="1">
      <c r="B272" s="174"/>
      <c r="C272" s="335"/>
      <c r="D272" s="309"/>
      <c r="E272" s="465" t="str">
        <f>IF('Mon Entreprise'!K8&gt;Annexes!Q24,"",IF(OR(AB254="OUI",AND(OR(AB256="OUI",AB255="OUI"),OR(AB250&gt;=Annexes!P5,AB251&gt;=Annexes!P5,'Mes Aides'!AB145&gt;=0.1)),AB258=TRUE),"",IF(AND(OR(AB256="OUI",AB255="OUI"),OR(AB250&lt;Annexes!P5,AB251&lt;Annexes!P5,'Mes Aides'!AB145&lt;0.1)),"L'entreprise fait partie des entreprises mentionnées en annexe 2 ou 3 ou dans un centre commercial du décret mais n'a pas eu une perte de CA d'au-Moins 80 %, entre le 15/03/2020 et le 15/05/2020, Novembre 2020 ou 10 % entre 2019 et 2020","L'entreprise ne fait pas partie des entreprises ayant une fermeture administrative avec une perte de 20 % de CA et ne fait pas partie des activités mentionnées aux annexes 1, 2 et 3 ou dans un centre commercial du décret")))</f>
        <v>L'entreprise ne fait pas partie des entreprises ayant une fermeture administrative avec une perte de 20 % de CA et ne fait pas partie des activités mentionnées aux annexes 1, 2 et 3 ou dans un centre commercial du décret</v>
      </c>
      <c r="F272" s="465"/>
      <c r="G272" s="465"/>
      <c r="H272" s="465"/>
      <c r="I272" s="465"/>
      <c r="J272" s="465"/>
      <c r="K272" s="465"/>
      <c r="L272" s="465"/>
      <c r="M272" s="465"/>
      <c r="N272" s="465"/>
      <c r="O272" s="465"/>
      <c r="P272" s="1"/>
      <c r="T272" s="14"/>
      <c r="U272" s="447" t="s">
        <v>81</v>
      </c>
      <c r="V272" s="447"/>
      <c r="W272" s="447"/>
      <c r="X272" s="447"/>
      <c r="Y272" s="447"/>
      <c r="Z272" s="68"/>
      <c r="AA272" s="1"/>
      <c r="AB272" s="1">
        <f>IFERROR(IF('Mon Entreprise'!K8&gt;Annexes!Q26,0,IF(AB258=TRUE,IF(AB264&gt;Annexes!O6,Annexes!O6,ROUND(AB264,0)),IF(AB261&gt;=0.5,IF(OR(AB254="OUI",AND(OR(AB256="OUI",AB255="OUI"),OR(AB250&gt;=Annexes!P5,AB251&gt;=Annexes!P5,AB252&gt;=0.1))),IF(AB264&gt;Annexes!O6,Annexes!O6,ROUND(AB264,0)),IF(AND(OR(AB256="OUI",AB255="OUI"),OR(AB250&lt;Annexes!P5,AB251&lt;Annexes!P5)),0,0)),0))),0)</f>
        <v>0</v>
      </c>
      <c r="AC272" s="1"/>
      <c r="AD272" s="1"/>
      <c r="AE272" s="13"/>
    </row>
    <row r="273" spans="2:31" ht="15" customHeight="1">
      <c r="B273" s="174"/>
      <c r="C273" s="335"/>
      <c r="D273" s="309"/>
      <c r="E273" s="465"/>
      <c r="F273" s="465"/>
      <c r="G273" s="465"/>
      <c r="H273" s="465"/>
      <c r="I273" s="465"/>
      <c r="J273" s="465"/>
      <c r="K273" s="465"/>
      <c r="L273" s="465"/>
      <c r="M273" s="465"/>
      <c r="N273" s="465"/>
      <c r="O273" s="465"/>
      <c r="P273" s="1"/>
      <c r="T273" s="14"/>
      <c r="U273" s="447" t="s">
        <v>399</v>
      </c>
      <c r="V273" s="447"/>
      <c r="W273" s="447"/>
      <c r="X273" s="447"/>
      <c r="Y273" s="447"/>
      <c r="Z273" s="68"/>
      <c r="AA273" s="1"/>
      <c r="AB273" s="1">
        <f>IFERROR(IF('Mon Entreprise'!K8&gt;Annexes!Q26,0,IF(AB258=TRUE,IF(AB263=0,0,IF(AB260&lt;AB263*0.2,ROUND(AB260,0),IF(AB263*0.2&gt;=200000,Annexes!O8,ROUND(AB263*0.2,0)))),IF(OR(AB254="OUI",AND(AB255="OUI",OR(AB250&gt;=0.8,AB251&gt;=0.8,AB252&gt;=0.1))),IF(AB261&gt;=0.7,IF(AB260&lt;AB263*0.2,ROUND(AB260,0),IF(AB263*0.2&gt;=200000,Annexes!O8,ROUND(AB263*0.2,0))),IF(AB261&gt;=0.5,IF(AB260&lt;AB263*0.15,ROUND(AB260,0),IF(AB263*0.15&gt;=200000,Annexes!O8,ROUND(AB263*0.15,0))),IF(AND(AB256="OUI",OR(AB250&gt;=0.8,AB251&gt;=0.8,AB252&gt;=0.1),AB261&gt;=0.7),IF(AB260&lt;AB263*0.2,ROUND(AB260,0),IF(AB263*0.2&gt;=200000,Annexes!O8,ROUND(AB263*0.2,0))),0))),IF(AND(AB256="OUI",OR(AB250&gt;=0.8,AB251&gt;=0.8,AB252&gt;=0.1),AB261&gt;=0.7),IF(AB260&lt;AB263*0.2,ROUND(AB260,0),IF(AB263*0.2&gt;=200000,Annexes!O8,ROUND(AB263*0.2,0))),0)))),0)</f>
        <v>0</v>
      </c>
      <c r="AC273" s="1"/>
      <c r="AD273" s="1"/>
      <c r="AE273" s="13"/>
    </row>
    <row r="274" spans="2:31" ht="15" customHeight="1">
      <c r="B274" s="174"/>
      <c r="C274" s="335"/>
      <c r="D274" s="309"/>
      <c r="E274" s="465"/>
      <c r="F274" s="465"/>
      <c r="G274" s="465"/>
      <c r="H274" s="465"/>
      <c r="I274" s="465"/>
      <c r="J274" s="465"/>
      <c r="K274" s="465"/>
      <c r="L274" s="465"/>
      <c r="M274" s="465"/>
      <c r="N274" s="465"/>
      <c r="O274" s="465"/>
      <c r="P274" s="1"/>
      <c r="T274" s="14"/>
      <c r="U274" s="1"/>
      <c r="V274" s="1"/>
      <c r="W274" s="1"/>
      <c r="X274" s="1"/>
      <c r="Y274" s="1"/>
      <c r="Z274" s="1"/>
      <c r="AA274" s="1"/>
      <c r="AB274" s="1"/>
      <c r="AC274" s="1"/>
      <c r="AD274" s="1"/>
      <c r="AE274" s="13"/>
    </row>
    <row r="275" spans="2:31" ht="16.5" customHeight="1">
      <c r="B275" s="174"/>
      <c r="C275" s="335"/>
      <c r="D275" s="359" t="str">
        <f>IFERROR(IF('Mon Entreprise'!K8&gt;=Annexes!O20,IF(AB233&gt;=AB235,"- Le CA de référence est celui de Février 2019, soit une perte de "&amp;ROUND(AB233,0)&amp;" €"&amp;" ==&gt; "&amp;ROUND(AE233*100,0)&amp;" %","- Le CA de référence est celui de la création, soit une perte de "&amp;ROUND(AB235,0)&amp;" €"&amp;" ==&gt; "&amp;ROUND(AE235*100,0)&amp;" %"),IF(AB233&gt;=AB234,"- Le CA de référence est celui de Février 2019, soit une perte de "&amp;ROUND(AB233,0)&amp;" €"&amp;" ==&gt; "&amp;ROUND(AE233*100,0)&amp;" %","- Le CA de référence est celui de l'exercice 2019, soit une perte de "&amp;ROUND(AB234,0)&amp;" €"&amp;" ==&gt; "&amp;ROUND(AE234*100,0)&amp;" %")),"")</f>
        <v>- Le CA de référence est celui de Février 2019, soit une perte de 0 € ==&gt; 0 %</v>
      </c>
      <c r="E275" s="359"/>
      <c r="F275" s="359"/>
      <c r="G275" s="359"/>
      <c r="H275" s="359"/>
      <c r="I275" s="359"/>
      <c r="J275" s="359"/>
      <c r="K275" s="359"/>
      <c r="L275" s="359"/>
      <c r="M275" s="359"/>
      <c r="N275" s="359"/>
      <c r="O275" s="359"/>
      <c r="P275" s="328"/>
      <c r="Q275" s="328"/>
      <c r="T275" s="14"/>
      <c r="U275" s="1"/>
      <c r="V275" s="1"/>
      <c r="W275" s="1"/>
      <c r="X275" s="1"/>
      <c r="Y275" s="1"/>
      <c r="Z275" s="1"/>
      <c r="AA275" s="1"/>
      <c r="AB275" s="1"/>
      <c r="AC275" s="1"/>
      <c r="AD275" s="1"/>
      <c r="AE275" s="13"/>
    </row>
    <row r="276" spans="2:31" ht="16.5" customHeight="1">
      <c r="B276" s="103"/>
      <c r="C276" s="335"/>
      <c r="D276" s="465" t="str">
        <f>IF(AB258=TRUE,"- L'entreprise peut bénéficier d'une aide de 20 % du CA de référence, plafonnée à 200 000 €",IF(OR(AB254="OUI",AND(AB255="OUI",OR(AB250&gt;=0.8,AB251&gt;=0.8,AB252&gt;=0.1))),IF(AB261&gt;=0.7,"- L'entreprise peut bénéficier d'une aide de 20 % du CA de référence, plafonnée à 200 000 €",IF(AB261&gt;=0.5,"- L'entreprise peut bénéficier d'une aide de 15 % du CA de référence, plafonnée à 200 000 €","- L'entreprise n'a subi ni de fermeture administrative avec une perte de 20 % de CA au mois de Février, ni de perte d'au moins 50 % de son CA")),IF(AND(AB256="OUI",OR(AB250&gt;=0.8,AB251&gt;=0.8,AB252&gt;=0.1),AB261&gt;=0.5),"- L'entreprise peut bénéficier d'une aide de 20 % du CA de référence, plafonnée à 200 000 €","- L'entreprise ne fait ni partie des fermetures administratives avec une perte de 20 % du CA au mois de Février, ni des activités mentionnées en annexe 1 (S1) ou en annexe 2 (S1 bis) ou Annexe 3 ou dans un centre commercial ayant une perte significative")))</f>
        <v>- L'entreprise ne fait ni partie des fermetures administratives avec une perte de 20 % du CA au mois de Février, ni des activités mentionnées en annexe 1 (S1) ou en annexe 2 (S1 bis) ou Annexe 3 ou dans un centre commercial ayant une perte significative</v>
      </c>
      <c r="E276" s="465"/>
      <c r="F276" s="465"/>
      <c r="G276" s="465"/>
      <c r="H276" s="465"/>
      <c r="I276" s="465"/>
      <c r="J276" s="465"/>
      <c r="K276" s="465"/>
      <c r="L276" s="465"/>
      <c r="M276" s="465"/>
      <c r="N276" s="465"/>
      <c r="O276" s="465"/>
      <c r="P276" s="328"/>
      <c r="Q276" s="328"/>
      <c r="T276" s="14"/>
      <c r="U276" s="1"/>
      <c r="V276" s="1"/>
      <c r="W276" s="1"/>
      <c r="X276" s="1"/>
      <c r="Y276" s="1"/>
      <c r="Z276" s="1"/>
      <c r="AA276" s="1"/>
      <c r="AB276" s="1"/>
      <c r="AC276" s="1"/>
      <c r="AD276" s="1"/>
      <c r="AE276" s="13"/>
    </row>
    <row r="277" spans="2:31" ht="16.5" customHeight="1">
      <c r="B277" s="169"/>
      <c r="C277" s="335"/>
      <c r="D277" s="465"/>
      <c r="E277" s="465"/>
      <c r="F277" s="465"/>
      <c r="G277" s="465"/>
      <c r="H277" s="465"/>
      <c r="I277" s="465"/>
      <c r="J277" s="465"/>
      <c r="K277" s="465"/>
      <c r="L277" s="465"/>
      <c r="M277" s="465"/>
      <c r="N277" s="465"/>
      <c r="O277" s="465"/>
      <c r="P277" s="328"/>
      <c r="Q277" s="328"/>
      <c r="T277" s="14"/>
      <c r="U277" s="1"/>
      <c r="V277" s="1"/>
      <c r="W277" s="1"/>
      <c r="X277" s="1"/>
      <c r="Y277" s="1"/>
      <c r="Z277" s="1"/>
      <c r="AA277" s="1"/>
      <c r="AB277" s="1"/>
      <c r="AC277" s="1"/>
      <c r="AD277" s="1"/>
      <c r="AE277" s="13"/>
    </row>
    <row r="278" spans="2:31" ht="16.5" customHeight="1" thickBot="1">
      <c r="B278" s="169"/>
      <c r="C278" s="335"/>
      <c r="D278" s="206"/>
      <c r="E278" s="328"/>
      <c r="F278" s="328"/>
      <c r="G278" s="328"/>
      <c r="H278" s="328"/>
      <c r="I278" s="328"/>
      <c r="J278" s="328"/>
      <c r="K278" s="328"/>
      <c r="L278" s="328"/>
      <c r="M278" s="328"/>
      <c r="N278" s="328"/>
      <c r="O278" s="328"/>
      <c r="P278" s="328"/>
      <c r="Q278" s="328"/>
      <c r="T278" s="14"/>
      <c r="U278" s="1"/>
      <c r="V278" s="1"/>
      <c r="W278" s="1"/>
      <c r="X278" s="1"/>
      <c r="Y278" s="1"/>
      <c r="Z278" s="1"/>
      <c r="AA278" s="1"/>
      <c r="AB278" s="1"/>
      <c r="AC278" s="1"/>
      <c r="AD278" s="1"/>
      <c r="AE278" s="13"/>
    </row>
    <row r="279" spans="2:31" ht="16.5" customHeight="1">
      <c r="B279" s="103"/>
      <c r="C279" s="181"/>
      <c r="D279" s="468" t="str">
        <f>IFERROR(IF('Mon Entreprise'!K8&gt;Annexes!Q26,"Vous avez débuté votre activité après le 31 Octobre 2020, vous ne pouvez donc pas bénéficier de cette aide",IF(AB258=TRUE,IF(AB263=0,"Vous n'avez pas indiqué de chiffre d'affaires de référence",IF(AB260&lt;AB263*0.2,"Dans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Février"))),IF(OR(AB254="OUI",AND(AB255="OUI",OR(AB250&gt;=0.8,AB251&gt;=0.8,AB252&gt;=0.1))),IF(AB261&gt;=0.7,IF(AB260&lt;AB263*0.2,"Dans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Février")),IF(AB261&gt;=0.5,IF(AB260&lt;AB263*0.15,"Dans votre cas, la perte est inférieure à 15 % du CA, l'aide est donc plafonnée à la perte, soit "&amp;ROUND(AB260,0)&amp;" € pour le mois de Février",IF(AB263*0.15&gt;=200000,"Dans votre cas, l'aide est plafonnée, à "&amp;Annexes!O8&amp;" € pour le mois de Février","Vous pouvez bénéficier, au titre de cette aide, d'un montant de "&amp;ROUND(AB263*0.15,0)&amp;" € pour le mois de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au mois de Février, ni des activités mentionnées en annexe 1 (S1) avec 50 % de perte en Février ou en annexe 2 (S1 bis) ou 3 ou dans un centre commercial avec 70 % de Perte en Février"))),IF(AND(AB256="OUI",OR(AB250&gt;=0.8,AB251&gt;=0.8,AB252&gt;=0.1),AB261&gt;=0.7),IF(AB260&lt;AB263*0.2,"Dans votre cas, la perte est inférieure à 20 % du CA, l'aide est donc plafonnée à la perte, soit "&amp;ROUND(AB260,0)&amp;" € pour le mois de Février",IF(AB263*0.2&gt;=200000,"Dans votre cas, l'aide est plafonnée, à "&amp;Annexes!O8&amp;" € pour le mois de Février","Vous pouvez bénéficier, au titre de cette aide, d'un montant de "&amp;ROUND(AB263*0.2,0)&amp;" € pour le mois de Février")),"L'entreprise ne fait ni partie des fermetures administratives avec 20 % de perte au mois de Février, ni des activités mentionnées en annexe 1 (S1)"&amp;" ou en annexe 2 (S1 bis) avec 50 % de perte en Février ou 3 ou dans un centre commercial avec 70 % de Perte en Février")))),"Vous n'avez pas indiqué de chiffre d'affaires de référence")</f>
        <v>L'entreprise ne fait ni partie des fermetures administratives avec 20 % de perte au mois de Février, ni des activités mentionnées en annexe 1 (S1) ou en annexe 2 (S1 bis) avec 50 % de perte en Février ou 3 ou dans un centre commercial avec 70 % de Perte en Février</v>
      </c>
      <c r="E279" s="451"/>
      <c r="F279" s="451"/>
      <c r="G279" s="451"/>
      <c r="H279" s="451"/>
      <c r="I279" s="451"/>
      <c r="J279" s="451"/>
      <c r="K279" s="451"/>
      <c r="L279" s="451"/>
      <c r="M279" s="451"/>
      <c r="N279" s="451"/>
      <c r="O279" s="452"/>
      <c r="P279" s="328"/>
      <c r="Q279" s="328"/>
      <c r="T279" s="14"/>
      <c r="U279" s="1"/>
      <c r="V279" s="1"/>
      <c r="W279" s="1"/>
      <c r="X279" s="1"/>
      <c r="Y279" s="1"/>
      <c r="Z279" s="1"/>
      <c r="AA279" s="1"/>
      <c r="AB279" s="1"/>
      <c r="AC279" s="1"/>
      <c r="AD279" s="1"/>
      <c r="AE279" s="13"/>
    </row>
    <row r="280" spans="2:31" ht="16.5" customHeight="1">
      <c r="B280" s="103"/>
      <c r="C280" s="181"/>
      <c r="D280" s="453"/>
      <c r="E280" s="454"/>
      <c r="F280" s="454"/>
      <c r="G280" s="454"/>
      <c r="H280" s="454"/>
      <c r="I280" s="454"/>
      <c r="J280" s="454"/>
      <c r="K280" s="454"/>
      <c r="L280" s="454"/>
      <c r="M280" s="454"/>
      <c r="N280" s="454"/>
      <c r="O280" s="455"/>
      <c r="P280" s="328"/>
      <c r="Q280" s="328"/>
      <c r="T280" s="14"/>
      <c r="U280" s="1"/>
      <c r="V280" s="1"/>
      <c r="W280" s="1"/>
      <c r="X280" s="1"/>
      <c r="Y280" s="1"/>
      <c r="Z280" s="1"/>
      <c r="AA280" s="1"/>
      <c r="AB280" s="1"/>
      <c r="AC280" s="1"/>
      <c r="AD280" s="1"/>
      <c r="AE280" s="13"/>
    </row>
    <row r="281" spans="2:31" ht="16.5" customHeight="1">
      <c r="B281" s="103"/>
      <c r="C281" s="181"/>
      <c r="D281" s="453"/>
      <c r="E281" s="454"/>
      <c r="F281" s="454"/>
      <c r="G281" s="454"/>
      <c r="H281" s="454"/>
      <c r="I281" s="454"/>
      <c r="J281" s="454"/>
      <c r="K281" s="454"/>
      <c r="L281" s="454"/>
      <c r="M281" s="454"/>
      <c r="N281" s="454"/>
      <c r="O281" s="455"/>
      <c r="P281" s="176"/>
      <c r="Q281" s="176"/>
      <c r="T281" s="14"/>
      <c r="U281" s="1"/>
      <c r="V281" s="1"/>
      <c r="W281" s="1"/>
      <c r="X281" s="1"/>
      <c r="Y281" s="1"/>
      <c r="Z281" s="1"/>
      <c r="AA281" s="1"/>
      <c r="AB281" s="1"/>
      <c r="AC281" s="1"/>
      <c r="AD281" s="1"/>
      <c r="AE281" s="13"/>
    </row>
    <row r="282" spans="2:31" ht="16.5" customHeight="1" thickBot="1">
      <c r="B282" s="103"/>
      <c r="C282" s="181"/>
      <c r="D282" s="456"/>
      <c r="E282" s="457"/>
      <c r="F282" s="457"/>
      <c r="G282" s="457"/>
      <c r="H282" s="457"/>
      <c r="I282" s="457"/>
      <c r="J282" s="457"/>
      <c r="K282" s="457"/>
      <c r="L282" s="457"/>
      <c r="M282" s="457"/>
      <c r="N282" s="457"/>
      <c r="O282" s="458"/>
      <c r="T282" s="14"/>
      <c r="U282" s="1"/>
      <c r="V282" s="1"/>
      <c r="W282" s="1"/>
      <c r="X282" s="1"/>
      <c r="Y282" s="1"/>
      <c r="Z282" s="1"/>
      <c r="AA282" s="1"/>
      <c r="AB282" s="1"/>
      <c r="AC282" s="1"/>
      <c r="AD282" s="1"/>
      <c r="AE282" s="13"/>
    </row>
    <row r="283" spans="2:31" ht="16.5" customHeight="1">
      <c r="B283" s="5"/>
      <c r="C283" s="5"/>
      <c r="D283" s="340"/>
      <c r="E283" s="340"/>
      <c r="F283" s="340"/>
      <c r="G283" s="340"/>
      <c r="H283" s="340"/>
      <c r="I283" s="340"/>
      <c r="J283" s="340"/>
      <c r="K283" s="340"/>
      <c r="L283" s="340"/>
      <c r="M283" s="340"/>
      <c r="N283" s="340"/>
      <c r="O283" s="340"/>
      <c r="P283" s="178"/>
      <c r="Q283" s="178"/>
      <c r="T283" s="14"/>
      <c r="U283" s="1"/>
      <c r="V283" s="1"/>
      <c r="W283" s="1"/>
      <c r="X283" s="1"/>
      <c r="Y283" s="1"/>
      <c r="Z283" s="1"/>
      <c r="AA283" s="1"/>
      <c r="AB283" s="1"/>
      <c r="AC283" s="1"/>
      <c r="AD283" s="1"/>
      <c r="AE283" s="13"/>
    </row>
    <row r="284" spans="2:31">
      <c r="B284" s="5"/>
      <c r="C284" s="5"/>
      <c r="D284" s="340"/>
      <c r="E284" s="340"/>
      <c r="F284" s="340"/>
      <c r="G284" s="340"/>
      <c r="H284" s="340"/>
      <c r="I284" s="340"/>
      <c r="J284" s="340"/>
      <c r="K284" s="340"/>
      <c r="L284" s="340"/>
      <c r="M284" s="340"/>
      <c r="N284" s="340"/>
      <c r="O284" s="340"/>
      <c r="P284" s="178"/>
      <c r="Q284" s="178"/>
      <c r="T284" s="14"/>
      <c r="U284" s="1"/>
      <c r="V284" s="1"/>
      <c r="W284" s="1"/>
      <c r="X284" s="1"/>
      <c r="Y284" s="1"/>
      <c r="Z284" s="1"/>
      <c r="AA284" s="1"/>
      <c r="AB284" s="1"/>
      <c r="AC284" s="1"/>
      <c r="AD284" s="1"/>
      <c r="AE284" s="13"/>
    </row>
    <row r="285" spans="2:31">
      <c r="B285" s="5"/>
      <c r="C285" s="5"/>
      <c r="D285" s="340"/>
      <c r="E285" s="340"/>
      <c r="F285" s="340"/>
      <c r="G285" s="340"/>
      <c r="H285" s="340"/>
      <c r="I285" s="340"/>
      <c r="J285" s="340"/>
      <c r="K285" s="340"/>
      <c r="L285" s="340"/>
      <c r="M285" s="340"/>
      <c r="N285" s="340"/>
      <c r="O285" s="340"/>
      <c r="P285" s="178"/>
      <c r="Q285" s="178"/>
      <c r="T285" s="15"/>
      <c r="U285" s="10"/>
      <c r="V285" s="10"/>
      <c r="W285" s="10"/>
      <c r="X285" s="10"/>
      <c r="Y285" s="10"/>
      <c r="Z285" s="10"/>
      <c r="AA285" s="10"/>
      <c r="AB285" s="10"/>
      <c r="AC285" s="10"/>
      <c r="AD285" s="10"/>
      <c r="AE285" s="4"/>
    </row>
    <row r="286" spans="2:31" ht="16.5" thickBot="1">
      <c r="B286" s="221"/>
      <c r="C286" s="433" t="s">
        <v>382</v>
      </c>
      <c r="D286" s="433"/>
      <c r="E286" s="433"/>
      <c r="F286" s="433"/>
      <c r="G286" s="433"/>
      <c r="H286" s="433"/>
      <c r="I286" s="222"/>
      <c r="J286" s="222"/>
      <c r="K286" s="222"/>
      <c r="L286" s="222"/>
      <c r="M286" s="222"/>
      <c r="N286" s="222"/>
      <c r="O286" s="222"/>
      <c r="T286" s="16"/>
      <c r="U286" s="11"/>
      <c r="V286" s="11"/>
      <c r="W286" s="11"/>
      <c r="X286" s="11"/>
      <c r="Y286" s="11"/>
      <c r="Z286" s="11"/>
      <c r="AA286" s="11"/>
      <c r="AB286" s="11"/>
      <c r="AC286" s="11"/>
      <c r="AD286" s="11"/>
      <c r="AE286" s="12"/>
    </row>
    <row r="287" spans="2:31" ht="15" customHeight="1">
      <c r="B287" s="63"/>
      <c r="C287" s="24"/>
      <c r="D287" s="24"/>
      <c r="E287" s="24"/>
      <c r="F287" s="24"/>
      <c r="G287" s="24"/>
      <c r="H287" s="63"/>
      <c r="I287" s="1"/>
      <c r="J287" s="1"/>
      <c r="K287" s="1"/>
      <c r="L287" s="1"/>
      <c r="M287" s="1"/>
      <c r="N287" s="1"/>
      <c r="O287" s="1"/>
      <c r="T287" s="14"/>
      <c r="U287" s="1"/>
      <c r="V287" s="1"/>
      <c r="W287" s="1"/>
      <c r="X287" s="1"/>
      <c r="Y287" s="1"/>
      <c r="Z287" s="1"/>
      <c r="AA287" s="1"/>
      <c r="AB287" s="1"/>
      <c r="AC287" s="1"/>
      <c r="AD287" s="1"/>
      <c r="AE287" s="13"/>
    </row>
    <row r="288" spans="2:31" ht="15" customHeight="1">
      <c r="B288" s="103"/>
      <c r="C288" s="434" t="s">
        <v>390</v>
      </c>
      <c r="D288" s="434"/>
      <c r="E288" s="434"/>
      <c r="F288" s="434"/>
      <c r="G288" s="434"/>
      <c r="H288" s="434"/>
      <c r="I288" s="434"/>
      <c r="J288" s="434"/>
      <c r="K288" s="434"/>
      <c r="L288" s="434"/>
      <c r="M288" s="434"/>
      <c r="N288" s="434"/>
      <c r="O288" s="434"/>
      <c r="P288" s="1"/>
      <c r="T288" s="25"/>
      <c r="U288" s="435" t="s">
        <v>20</v>
      </c>
      <c r="V288" s="435"/>
      <c r="W288" s="435"/>
      <c r="X288" s="1"/>
      <c r="Y288" s="338" t="s">
        <v>6</v>
      </c>
      <c r="Z288" s="338"/>
      <c r="AA288" s="338"/>
      <c r="AB288" s="338" t="s">
        <v>23</v>
      </c>
      <c r="AC288" s="338"/>
      <c r="AD288" s="338"/>
      <c r="AE288" s="26" t="s">
        <v>24</v>
      </c>
    </row>
    <row r="289" spans="2:31" ht="15.75" customHeight="1">
      <c r="B289" s="103"/>
      <c r="C289" s="335"/>
      <c r="D289" s="60" t="s">
        <v>383</v>
      </c>
      <c r="E289" s="335"/>
      <c r="F289" s="335"/>
      <c r="G289" s="335"/>
      <c r="H289" s="335"/>
      <c r="I289" s="335"/>
      <c r="J289" s="335"/>
      <c r="K289" s="335"/>
      <c r="L289" s="335"/>
      <c r="M289" s="335"/>
      <c r="N289" s="335"/>
      <c r="O289" s="335"/>
      <c r="P289" s="1"/>
      <c r="T289" s="25"/>
      <c r="U289" s="338"/>
      <c r="V289" s="338"/>
      <c r="W289" s="338"/>
      <c r="X289" s="1"/>
      <c r="Y289" s="338"/>
      <c r="Z289" s="338"/>
      <c r="AA289" s="338"/>
      <c r="AB289" s="338"/>
      <c r="AC289" s="338"/>
      <c r="AD289" s="338"/>
      <c r="AE289" s="26"/>
    </row>
    <row r="290" spans="2:31" ht="16.5" hidden="1" thickBot="1">
      <c r="B290" s="103"/>
      <c r="C290" s="335"/>
      <c r="D290" s="60"/>
      <c r="E290" s="335"/>
      <c r="F290" s="335"/>
      <c r="G290" s="335"/>
      <c r="H290" s="335"/>
      <c r="I290" s="335"/>
      <c r="J290" s="335"/>
      <c r="K290" s="335"/>
      <c r="L290" s="335"/>
      <c r="M290" s="335"/>
      <c r="N290" s="335"/>
      <c r="O290" s="335"/>
      <c r="P290" s="1"/>
      <c r="T290" s="436" t="s">
        <v>386</v>
      </c>
      <c r="U290" s="435"/>
      <c r="V290" s="435"/>
      <c r="W290" s="435"/>
      <c r="X290" s="1"/>
      <c r="Y290" s="7">
        <f>'Mon Entreprise'!I101</f>
        <v>0</v>
      </c>
      <c r="Z290" s="133"/>
      <c r="AA290" s="21"/>
      <c r="AB290" s="7">
        <f>IF('Mon Entreprise'!I101-'Mon Entreprise'!M101&lt;0,0,'Mon Entreprise'!I101-'Mon Entreprise'!M101)</f>
        <v>0</v>
      </c>
      <c r="AC290" s="13"/>
      <c r="AD290" s="1"/>
      <c r="AE290" s="27">
        <f>IFERROR(1-'Mon Entreprise'!M101/'Mon Entreprise'!I101,0)</f>
        <v>0</v>
      </c>
    </row>
    <row r="291" spans="2:31" ht="15.75" hidden="1">
      <c r="B291" s="103"/>
      <c r="C291" s="335"/>
      <c r="D291" s="437" t="str">
        <f>IFERROR(IF(AND(AB334=0,AB335=0,AB336=0),"Vous ne pouvez pas bénéficier du fonds de solidarité pour le mois de Mars 2021",IF(AND(AB336&gt;AB335,AB336&gt;AB334),"Votre entreprise peut bénéficier d'une aide de "&amp;AB336&amp;"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d'outre-mer",IF(AB335&gt;AB334,"Votre entreprise peut bénéficier d'une aide de "&amp;AB335&amp;"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"&amp;AB334&amp;" €, au titre d'une perte d'au-moins 50 % de votre CA en Mars 2021"))),"Vous n'avez pas indiqué de chiffre d'affaires de référence")</f>
        <v>Vous ne pouvez pas bénéficier du fonds de solidarité pour le mois de Mars 2021</v>
      </c>
      <c r="E291" s="438"/>
      <c r="F291" s="438"/>
      <c r="G291" s="438"/>
      <c r="H291" s="438"/>
      <c r="I291" s="438"/>
      <c r="J291" s="438"/>
      <c r="K291" s="438"/>
      <c r="L291" s="438"/>
      <c r="M291" s="438"/>
      <c r="N291" s="438"/>
      <c r="O291" s="439"/>
      <c r="P291" s="1"/>
      <c r="T291" s="436" t="s">
        <v>25</v>
      </c>
      <c r="U291" s="435"/>
      <c r="V291" s="435"/>
      <c r="W291" s="435"/>
      <c r="X291" s="1"/>
      <c r="Y291" s="7">
        <f>'Mon Entreprise'!I73</f>
        <v>0</v>
      </c>
      <c r="Z291" s="133"/>
      <c r="AA291" s="21"/>
      <c r="AB291" s="7">
        <f>IF('Mon Entreprise'!I73-'Mon Entreprise'!M101&lt;0,0,'Mon Entreprise'!I73-'Mon Entreprise'!M101)</f>
        <v>0</v>
      </c>
      <c r="AC291" s="36"/>
      <c r="AD291" s="1"/>
      <c r="AE291" s="27">
        <f>IFERROR(1-'Mon Entreprise'!M101/'Mon Entreprise'!I73,0)</f>
        <v>0</v>
      </c>
    </row>
    <row r="292" spans="2:31" ht="15.75" hidden="1" customHeight="1">
      <c r="B292" s="103"/>
      <c r="C292" s="335"/>
      <c r="D292" s="440"/>
      <c r="E292" s="441"/>
      <c r="F292" s="441"/>
      <c r="G292" s="441"/>
      <c r="H292" s="441"/>
      <c r="I292" s="441"/>
      <c r="J292" s="441"/>
      <c r="K292" s="441"/>
      <c r="L292" s="441"/>
      <c r="M292" s="441"/>
      <c r="N292" s="441"/>
      <c r="O292" s="442"/>
      <c r="P292" s="1"/>
      <c r="T292" s="446" t="s">
        <v>22</v>
      </c>
      <c r="U292" s="447"/>
      <c r="V292" s="447"/>
      <c r="W292" s="447"/>
      <c r="X292" s="139"/>
      <c r="Y292" s="140" t="str">
        <f>IF('Mon Entreprise'!I118="","NC",'Mon Entreprise'!I118)</f>
        <v>NC</v>
      </c>
      <c r="Z292" s="192"/>
      <c r="AA292" s="193"/>
      <c r="AB292" s="143" t="str">
        <f>IFERROR(IF('Mon Entreprise'!I118-'Mon Entreprise'!M101&lt;0,0,'Mon Entreprise'!I118-'Mon Entreprise'!M101),"NC")</f>
        <v>NC</v>
      </c>
      <c r="AC292" s="194"/>
      <c r="AD292" s="139"/>
      <c r="AE292" s="146" t="str">
        <f>IFERROR(1-'Mon Entreprise'!M101/'Mon Entreprise'!I118,"NC")</f>
        <v>NC</v>
      </c>
    </row>
    <row r="293" spans="2:31" ht="15.75" hidden="1" customHeight="1">
      <c r="B293" s="103"/>
      <c r="C293" s="335"/>
      <c r="D293" s="440"/>
      <c r="E293" s="441"/>
      <c r="F293" s="441"/>
      <c r="G293" s="441"/>
      <c r="H293" s="441"/>
      <c r="I293" s="441"/>
      <c r="J293" s="441"/>
      <c r="K293" s="441"/>
      <c r="L293" s="441"/>
      <c r="M293" s="441"/>
      <c r="N293" s="441"/>
      <c r="O293" s="442"/>
      <c r="P293" s="1"/>
      <c r="T293" s="336"/>
      <c r="U293" s="332"/>
      <c r="V293" s="332"/>
      <c r="W293" s="332"/>
      <c r="X293" s="139"/>
      <c r="Y293" s="140"/>
      <c r="Z293" s="141"/>
      <c r="AA293" s="193"/>
      <c r="AB293" s="143"/>
      <c r="AC293" s="332"/>
      <c r="AD293" s="139"/>
      <c r="AE293" s="146"/>
    </row>
    <row r="294" spans="2:31" ht="15.75" hidden="1" customHeight="1">
      <c r="B294" s="103"/>
      <c r="C294" s="335"/>
      <c r="D294" s="440"/>
      <c r="E294" s="441"/>
      <c r="F294" s="441"/>
      <c r="G294" s="441"/>
      <c r="H294" s="441"/>
      <c r="I294" s="441"/>
      <c r="J294" s="441"/>
      <c r="K294" s="441"/>
      <c r="L294" s="441"/>
      <c r="M294" s="441"/>
      <c r="N294" s="441"/>
      <c r="O294" s="442"/>
      <c r="P294" s="1"/>
      <c r="T294" s="14"/>
      <c r="U294" s="1"/>
      <c r="V294" s="1"/>
      <c r="W294" s="1"/>
      <c r="X294" s="1"/>
      <c r="Y294" s="1"/>
      <c r="Z294" s="1"/>
      <c r="AA294" s="1"/>
      <c r="AB294" s="1"/>
      <c r="AC294" s="1"/>
      <c r="AD294" s="1"/>
      <c r="AE294" s="13"/>
    </row>
    <row r="295" spans="2:31" ht="15.75" hidden="1" customHeight="1">
      <c r="B295" s="103"/>
      <c r="C295" s="335"/>
      <c r="D295" s="440"/>
      <c r="E295" s="441"/>
      <c r="F295" s="441"/>
      <c r="G295" s="441"/>
      <c r="H295" s="441"/>
      <c r="I295" s="441"/>
      <c r="J295" s="441"/>
      <c r="K295" s="441"/>
      <c r="L295" s="441"/>
      <c r="M295" s="441"/>
      <c r="N295" s="441"/>
      <c r="O295" s="442"/>
      <c r="P295" s="1"/>
      <c r="T295" s="14"/>
      <c r="AC295" s="1"/>
      <c r="AD295" s="1"/>
      <c r="AE295" s="13"/>
    </row>
    <row r="296" spans="2:31" ht="15.75" hidden="1" customHeight="1" thickBot="1">
      <c r="B296" s="103"/>
      <c r="C296" s="335"/>
      <c r="D296" s="443"/>
      <c r="E296" s="444"/>
      <c r="F296" s="444"/>
      <c r="G296" s="444"/>
      <c r="H296" s="444"/>
      <c r="I296" s="444"/>
      <c r="J296" s="444"/>
      <c r="K296" s="444"/>
      <c r="L296" s="444"/>
      <c r="M296" s="444"/>
      <c r="N296" s="444"/>
      <c r="O296" s="445"/>
      <c r="P296" s="1"/>
      <c r="T296" s="14"/>
      <c r="AC296" s="1"/>
      <c r="AD296" s="1"/>
      <c r="AE296" s="13"/>
    </row>
    <row r="297" spans="2:31" ht="16.5" hidden="1" customHeight="1">
      <c r="B297" s="103"/>
      <c r="C297" s="335"/>
      <c r="D297" s="314" t="s">
        <v>397</v>
      </c>
      <c r="E297" s="335"/>
      <c r="F297" s="335"/>
      <c r="G297" s="335"/>
      <c r="H297" s="335"/>
      <c r="I297" s="335"/>
      <c r="J297" s="335"/>
      <c r="K297" s="335"/>
      <c r="L297" s="335"/>
      <c r="M297" s="335"/>
      <c r="N297" s="335"/>
      <c r="O297" s="335"/>
      <c r="P297" s="1"/>
      <c r="T297" s="14"/>
      <c r="AC297" s="1"/>
      <c r="AD297" s="1"/>
      <c r="AE297" s="13"/>
    </row>
    <row r="298" spans="2:31" ht="15.75">
      <c r="B298" s="103"/>
      <c r="C298" s="78"/>
      <c r="D298" s="78"/>
      <c r="E298" s="78"/>
      <c r="F298" s="78"/>
      <c r="G298" s="78"/>
      <c r="H298" s="78"/>
      <c r="I298" s="78"/>
      <c r="J298" s="78"/>
      <c r="K298" s="78"/>
      <c r="L298" s="78"/>
      <c r="M298" s="78"/>
      <c r="N298" s="78"/>
      <c r="O298" s="78"/>
      <c r="P298" s="1"/>
      <c r="T298" s="14"/>
      <c r="U298" s="1"/>
      <c r="V298" s="1"/>
      <c r="W298" s="1"/>
      <c r="X298" s="1"/>
      <c r="Y298" s="1"/>
      <c r="Z298" s="1"/>
      <c r="AA298" s="1"/>
      <c r="AB298" s="1"/>
      <c r="AC298" s="1"/>
      <c r="AD298" s="1"/>
      <c r="AE298" s="13"/>
    </row>
    <row r="299" spans="2:31" ht="15.75">
      <c r="B299" s="103"/>
      <c r="C299" s="335"/>
      <c r="D299" s="60"/>
      <c r="E299" s="335"/>
      <c r="F299" s="335"/>
      <c r="G299" s="335"/>
      <c r="H299" s="335"/>
      <c r="I299" s="335"/>
      <c r="J299" s="335"/>
      <c r="K299" s="335"/>
      <c r="L299" s="335"/>
      <c r="M299" s="335"/>
      <c r="N299" s="335"/>
      <c r="O299" s="335"/>
      <c r="P299" s="1"/>
      <c r="T299" s="14"/>
      <c r="U299" s="1"/>
      <c r="V299" s="1"/>
      <c r="W299" s="1"/>
      <c r="X299" s="1"/>
      <c r="Y299" s="1"/>
      <c r="Z299" s="1"/>
      <c r="AA299" s="1"/>
      <c r="AB299" s="1"/>
      <c r="AC299" s="1"/>
      <c r="AD299" s="1"/>
      <c r="AE299" s="13"/>
    </row>
    <row r="300" spans="2:31" ht="15.75">
      <c r="B300" s="103"/>
      <c r="C300" s="335" t="s">
        <v>391</v>
      </c>
      <c r="D300" s="60"/>
      <c r="E300" s="335"/>
      <c r="F300" s="335"/>
      <c r="G300" s="335"/>
      <c r="H300" s="335"/>
      <c r="I300" s="335"/>
      <c r="J300" s="335"/>
      <c r="K300" s="335"/>
      <c r="L300" s="335"/>
      <c r="M300" s="335"/>
      <c r="N300" s="335"/>
      <c r="O300" s="335"/>
      <c r="P300" s="1"/>
      <c r="T300" s="14"/>
      <c r="U300" s="1"/>
      <c r="V300" s="1"/>
      <c r="W300" s="1"/>
      <c r="X300" s="1"/>
      <c r="Y300" s="1"/>
      <c r="Z300" s="1"/>
      <c r="AA300" s="1"/>
      <c r="AB300" s="1"/>
      <c r="AC300" s="1"/>
      <c r="AD300" s="1"/>
      <c r="AE300" s="13"/>
    </row>
    <row r="301" spans="2:31" ht="15.75">
      <c r="B301" s="103"/>
      <c r="C301" s="326" t="s">
        <v>392</v>
      </c>
      <c r="D301" s="60"/>
      <c r="E301" s="335"/>
      <c r="F301" s="335"/>
      <c r="G301" s="335"/>
      <c r="H301" s="335"/>
      <c r="I301" s="335"/>
      <c r="J301" s="335"/>
      <c r="K301" s="335"/>
      <c r="L301" s="335"/>
      <c r="M301" s="335"/>
      <c r="N301" s="335"/>
      <c r="O301" s="335"/>
      <c r="P301" s="1"/>
      <c r="T301" s="14"/>
      <c r="U301" s="448" t="s">
        <v>72</v>
      </c>
      <c r="V301" s="448"/>
      <c r="W301" s="448"/>
      <c r="X301" s="448"/>
      <c r="Y301" s="448"/>
      <c r="Z301" s="1"/>
      <c r="AA301" s="14"/>
      <c r="AB301" s="332" t="str">
        <f>IF('Mon Entreprise'!K8&lt;=Annexes!Q29,"Oui","Non")</f>
        <v>Oui</v>
      </c>
      <c r="AC301" s="1"/>
      <c r="AD301" s="1"/>
      <c r="AE301" s="13"/>
    </row>
    <row r="302" spans="2:31" ht="15.75">
      <c r="B302" s="169"/>
      <c r="C302" s="335"/>
      <c r="D302" s="60" t="str">
        <f>IFERROR(IF('Mon Entreprise'!K8&gt;=Annexes!O20,IF(AB290&gt;=AB292,"Le CA de référence est celui de Mars 2019, soit une perte de "&amp;ROUND(AB290,0)&amp;" €"&amp;" ==&gt; "&amp;ROUND(AE290*100,0)&amp;" %","Le CA de référence est celui de la création, soit une perte de "&amp;ROUND(AB292,0)&amp;" €"&amp;" ==&gt; "&amp;ROUND(AE292*100,0)&amp;" %"),IF(AB290&gt;=AB291,"Le CA de référence est celui de Mars 2019, soit une perte de "&amp;ROUND(AB290,0)&amp;" €"&amp;" ==&gt; "&amp;ROUND(AE290*100,0)&amp;" %","Le CA de référence est celui de l'exercice 2019, soit une perte de "&amp;ROUND(AB291,0)&amp;" €"&amp;" ==&gt; "&amp;ROUND(AE291*100,0)&amp;" %")),"")</f>
        <v>Le CA de référence est celui de Mars 2019, soit une perte de 0 € ==&gt; 0 %</v>
      </c>
      <c r="E302" s="335"/>
      <c r="F302" s="335"/>
      <c r="G302" s="335"/>
      <c r="H302" s="335"/>
      <c r="I302" s="335"/>
      <c r="J302" s="335"/>
      <c r="K302" s="335"/>
      <c r="L302" s="335"/>
      <c r="M302" s="335"/>
      <c r="N302" s="335"/>
      <c r="O302" s="335"/>
      <c r="P302" s="1"/>
      <c r="T302" s="14"/>
      <c r="U302" s="330"/>
      <c r="V302" s="448" t="s">
        <v>393</v>
      </c>
      <c r="W302" s="448"/>
      <c r="X302" s="448"/>
      <c r="Y302" s="448"/>
      <c r="Z302" s="1"/>
      <c r="AA302" s="14"/>
      <c r="AB302" s="332">
        <f>IF('Mon Entreprise'!K8&gt;=Annexes!O20,IF(Y290&gt;=Y292,Y290,Y292),IF(Y290&gt;=Y291,Y290,Y291))</f>
        <v>0</v>
      </c>
      <c r="AC302" s="1"/>
      <c r="AD302" s="1"/>
      <c r="AE302" s="13"/>
    </row>
    <row r="303" spans="2:31" ht="15.75">
      <c r="B303" s="169"/>
      <c r="C303" s="335"/>
      <c r="D303" s="449"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03" s="449"/>
      <c r="F303" s="449"/>
      <c r="G303" s="449"/>
      <c r="H303" s="449"/>
      <c r="I303" s="449"/>
      <c r="J303" s="449"/>
      <c r="K303" s="449"/>
      <c r="L303" s="449"/>
      <c r="M303" s="449"/>
      <c r="N303" s="449"/>
      <c r="O303" s="449"/>
      <c r="P303" s="1"/>
      <c r="T303" s="14"/>
      <c r="U303" s="448" t="s">
        <v>84</v>
      </c>
      <c r="V303" s="448"/>
      <c r="W303" s="448"/>
      <c r="X303" s="448"/>
      <c r="Y303" s="448"/>
      <c r="Z303" s="1"/>
      <c r="AA303" s="14"/>
      <c r="AB303" s="333">
        <f>IF('Mon Entreprise'!K8&gt;=Annexes!O20,IF(AB290&gt;=AB292,AB290,AB292),IF(AB290&gt;=AB291,AB290,AB291))</f>
        <v>0</v>
      </c>
      <c r="AC303" s="1"/>
      <c r="AD303" s="1"/>
      <c r="AE303" s="13"/>
    </row>
    <row r="304" spans="2:31" ht="15.75">
      <c r="B304" s="169"/>
      <c r="C304" s="335"/>
      <c r="D304" s="449"/>
      <c r="E304" s="449"/>
      <c r="F304" s="449"/>
      <c r="G304" s="449"/>
      <c r="H304" s="449"/>
      <c r="I304" s="449"/>
      <c r="J304" s="449"/>
      <c r="K304" s="449"/>
      <c r="L304" s="449"/>
      <c r="M304" s="449"/>
      <c r="N304" s="449"/>
      <c r="O304" s="449"/>
      <c r="P304" s="1"/>
      <c r="T304" s="14"/>
      <c r="U304" s="448" t="s">
        <v>85</v>
      </c>
      <c r="V304" s="448"/>
      <c r="W304" s="448"/>
      <c r="X304" s="448"/>
      <c r="Y304" s="448"/>
      <c r="Z304" s="1"/>
      <c r="AA304" s="14"/>
      <c r="AB304" s="19">
        <f>IF('Mon Entreprise'!K8&gt;=Annexes!O20,IF(AB290&gt;=AB292,AE290,AE292),IF(AB290&gt;=AB291,AE290,AE291))</f>
        <v>0</v>
      </c>
      <c r="AC304" s="1"/>
      <c r="AD304" s="1"/>
      <c r="AE304" s="13"/>
    </row>
    <row r="305" spans="1:31" ht="16.5" thickBot="1">
      <c r="B305" s="103"/>
      <c r="C305" s="335"/>
      <c r="D305" s="60"/>
      <c r="E305" s="335"/>
      <c r="F305" s="335"/>
      <c r="G305" s="335"/>
      <c r="H305" s="335"/>
      <c r="I305" s="335"/>
      <c r="J305" s="335"/>
      <c r="K305" s="335"/>
      <c r="L305" s="335"/>
      <c r="M305" s="335"/>
      <c r="N305" s="335"/>
      <c r="O305" s="335"/>
      <c r="P305" s="1"/>
      <c r="T305" s="14"/>
      <c r="U305" s="1"/>
      <c r="V305" s="1"/>
      <c r="W305" s="1"/>
      <c r="X305" s="1"/>
      <c r="Y305" s="1"/>
      <c r="Z305" s="1"/>
      <c r="AA305" s="1"/>
      <c r="AB305" s="1"/>
      <c r="AC305" s="1"/>
      <c r="AD305" s="1"/>
      <c r="AE305" s="13"/>
    </row>
    <row r="306" spans="1:31" ht="15.75">
      <c r="B306" s="169"/>
      <c r="C306" s="335"/>
      <c r="D306" s="450" t="str">
        <f>IFERROR(IF(AB301="Non","Vous avez débuté votre activité après le 31 Décembre 2020, vous ne pouvez donc pas bénéficier de cette aide",IF(OR(AB317=TRUE,AND(AB304&lt;0.5,AB318=TRUE),(AB304&gt;=0.5)),IF(AB303&gt;Annexes!O5,"Dans votre cas, l'aide est Plafonnée, à "&amp;Annexes!O5&amp;" € pour le mois de Mars","Vous pouvez bénéficier, au titre de cette aide, d'un montant de "&amp;ROUND(AB303,0)&amp;" € pour le mois de Mars"),"L'entreprise n'a pas une perte d'au moins 50 % en Mars 2021 ou n'a pas été en fermeture Administrative")),"Vous n'avez pas indiqué de chiffre d'affaires de référence")</f>
        <v>L'entreprise n'a pas une perte d'au moins 50 % en Mars 2021 ou n'a pas été en fermeture Administrative</v>
      </c>
      <c r="E306" s="451"/>
      <c r="F306" s="451"/>
      <c r="G306" s="451"/>
      <c r="H306" s="451"/>
      <c r="I306" s="451"/>
      <c r="J306" s="451"/>
      <c r="K306" s="451"/>
      <c r="L306" s="451"/>
      <c r="M306" s="451"/>
      <c r="N306" s="451"/>
      <c r="O306" s="452"/>
      <c r="P306" s="1"/>
      <c r="T306" s="14"/>
      <c r="U306" s="1"/>
      <c r="V306" s="1"/>
      <c r="W306" s="1"/>
      <c r="X306" s="1"/>
      <c r="Y306" s="1"/>
      <c r="Z306" s="1"/>
      <c r="AA306" s="1"/>
      <c r="AB306" s="1"/>
      <c r="AC306" s="1"/>
      <c r="AD306" s="1"/>
      <c r="AE306" s="13"/>
    </row>
    <row r="307" spans="1:31" ht="15.75" customHeight="1">
      <c r="B307" s="169"/>
      <c r="C307" s="335"/>
      <c r="D307" s="453"/>
      <c r="E307" s="454"/>
      <c r="F307" s="454"/>
      <c r="G307" s="454"/>
      <c r="H307" s="454"/>
      <c r="I307" s="454"/>
      <c r="J307" s="454"/>
      <c r="K307" s="454"/>
      <c r="L307" s="454"/>
      <c r="M307" s="454"/>
      <c r="N307" s="454"/>
      <c r="O307" s="455"/>
      <c r="P307" s="1"/>
      <c r="T307" s="14"/>
      <c r="U307" s="1"/>
      <c r="V307" s="1"/>
      <c r="W307" s="1"/>
      <c r="X307" s="1"/>
      <c r="Y307" s="1"/>
      <c r="Z307" s="1"/>
      <c r="AA307" s="1"/>
      <c r="AB307" s="1"/>
      <c r="AC307" s="1"/>
      <c r="AD307" s="1"/>
      <c r="AE307" s="13"/>
    </row>
    <row r="308" spans="1:31" ht="15.75" customHeight="1">
      <c r="B308" s="103"/>
      <c r="C308" s="335"/>
      <c r="D308" s="453"/>
      <c r="E308" s="454"/>
      <c r="F308" s="454"/>
      <c r="G308" s="454"/>
      <c r="H308" s="454"/>
      <c r="I308" s="454"/>
      <c r="J308" s="454"/>
      <c r="K308" s="454"/>
      <c r="L308" s="454"/>
      <c r="M308" s="454"/>
      <c r="N308" s="454"/>
      <c r="O308" s="455"/>
      <c r="P308" s="1"/>
      <c r="T308" s="14"/>
      <c r="U308" s="1"/>
      <c r="V308" s="1"/>
      <c r="W308" s="1"/>
      <c r="X308" s="1"/>
      <c r="Y308" s="1"/>
      <c r="Z308" s="1"/>
      <c r="AA308" s="1"/>
      <c r="AB308" s="1"/>
      <c r="AC308" s="1"/>
      <c r="AD308" s="1"/>
      <c r="AE308" s="13"/>
    </row>
    <row r="309" spans="1:31" ht="15.75" customHeight="1" thickBot="1">
      <c r="B309" s="103"/>
      <c r="C309" s="335"/>
      <c r="D309" s="456"/>
      <c r="E309" s="457"/>
      <c r="F309" s="457"/>
      <c r="G309" s="457"/>
      <c r="H309" s="457"/>
      <c r="I309" s="457"/>
      <c r="J309" s="457"/>
      <c r="K309" s="457"/>
      <c r="L309" s="457"/>
      <c r="M309" s="457"/>
      <c r="N309" s="457"/>
      <c r="O309" s="458"/>
      <c r="P309" s="1"/>
      <c r="T309" s="14"/>
      <c r="U309" s="1"/>
      <c r="V309" s="1"/>
      <c r="W309" s="1"/>
      <c r="X309" s="1"/>
      <c r="Y309" s="1"/>
      <c r="Z309" s="1"/>
      <c r="AA309" s="1"/>
      <c r="AB309" s="1"/>
      <c r="AC309" s="1"/>
      <c r="AD309" s="1"/>
      <c r="AE309" s="13"/>
    </row>
    <row r="310" spans="1:31" ht="16.5" customHeight="1">
      <c r="B310" s="103"/>
      <c r="C310" s="170"/>
      <c r="D310" s="459" t="s">
        <v>395</v>
      </c>
      <c r="E310" s="459"/>
      <c r="F310" s="459"/>
      <c r="G310" s="459"/>
      <c r="H310" s="459"/>
      <c r="I310" s="459"/>
      <c r="J310" s="459"/>
      <c r="K310" s="459"/>
      <c r="L310" s="459"/>
      <c r="M310" s="459"/>
      <c r="N310" s="459"/>
      <c r="O310" s="459"/>
      <c r="P310" s="1"/>
      <c r="T310" s="460" t="s">
        <v>4</v>
      </c>
      <c r="U310" s="461"/>
      <c r="V310" s="461"/>
      <c r="W310" s="461"/>
      <c r="X310" s="461"/>
      <c r="Y310" s="461"/>
      <c r="Z310" s="139"/>
      <c r="AA310" s="145"/>
      <c r="AB310" s="195">
        <f>IFERROR(IF('Mon Entreprise'!K8&gt;=Annexes!Q18,0,1-'Mon Entreprise'!M93/2/AB302),0)</f>
        <v>0</v>
      </c>
      <c r="AC310" s="1"/>
      <c r="AD310" s="1"/>
      <c r="AE310" s="13"/>
    </row>
    <row r="311" spans="1:31" ht="16.5" customHeight="1">
      <c r="B311" s="103"/>
      <c r="C311" s="335"/>
      <c r="D311" s="309"/>
      <c r="E311" s="309"/>
      <c r="F311" s="309"/>
      <c r="G311" s="309"/>
      <c r="H311" s="309"/>
      <c r="I311" s="309"/>
      <c r="J311" s="309"/>
      <c r="K311" s="309"/>
      <c r="L311" s="309"/>
      <c r="M311" s="309"/>
      <c r="N311" s="309"/>
      <c r="O311" s="309"/>
      <c r="P311" s="1"/>
      <c r="T311" s="110"/>
      <c r="U311" s="462" t="s">
        <v>102</v>
      </c>
      <c r="V311" s="462"/>
      <c r="W311" s="462"/>
      <c r="X311" s="462"/>
      <c r="Y311" s="462"/>
      <c r="Z311" s="139"/>
      <c r="AA311" s="145"/>
      <c r="AB311" s="195">
        <f>IFERROR(IF('Mon Entreprise'!K8&gt;Annexes!Q29,0,IF('Mon Entreprise'!K8&gt;Annexes!Q26,1,1-'Mon Entreprise'!M89/AB302)),0)</f>
        <v>0</v>
      </c>
      <c r="AC311" s="1"/>
      <c r="AD311" s="1"/>
      <c r="AE311" s="13"/>
    </row>
    <row r="312" spans="1:31" ht="16.5" customHeight="1">
      <c r="B312" s="103"/>
      <c r="C312" s="463" t="s">
        <v>396</v>
      </c>
      <c r="D312" s="463"/>
      <c r="E312" s="463"/>
      <c r="F312" s="463"/>
      <c r="G312" s="463"/>
      <c r="H312" s="463"/>
      <c r="I312" s="463"/>
      <c r="J312" s="463"/>
      <c r="K312" s="463"/>
      <c r="L312" s="463"/>
      <c r="M312" s="463"/>
      <c r="N312" s="463"/>
      <c r="O312" s="463"/>
      <c r="P312" s="1"/>
      <c r="T312" s="110"/>
      <c r="U312" s="462" t="s">
        <v>109</v>
      </c>
      <c r="V312" s="462"/>
      <c r="W312" s="462"/>
      <c r="X312" s="462"/>
      <c r="Y312" s="462"/>
      <c r="Z312" s="139"/>
      <c r="AA312" s="145"/>
      <c r="AB312" s="195">
        <f>IFERROR(IF(Annexes!O27&gt;'Mon Entreprise'!K8,1-'Mon Entreprise'!M73/'Mon Entreprise'!I73,0),0)</f>
        <v>0</v>
      </c>
      <c r="AC312" s="1"/>
      <c r="AD312" s="1"/>
      <c r="AE312" s="13"/>
    </row>
    <row r="313" spans="1:31" ht="16.5" customHeight="1">
      <c r="B313" s="103"/>
      <c r="C313" s="463"/>
      <c r="D313" s="463"/>
      <c r="E313" s="463"/>
      <c r="F313" s="463"/>
      <c r="G313" s="463"/>
      <c r="H313" s="463"/>
      <c r="I313" s="463"/>
      <c r="J313" s="463"/>
      <c r="K313" s="463"/>
      <c r="L313" s="463"/>
      <c r="M313" s="463"/>
      <c r="N313" s="463"/>
      <c r="O313" s="463"/>
      <c r="P313" s="1"/>
      <c r="T313" s="110"/>
      <c r="U313" s="329"/>
      <c r="V313" s="329"/>
      <c r="W313" s="329"/>
      <c r="X313" s="329"/>
      <c r="Y313" s="329"/>
      <c r="Z313" s="139"/>
      <c r="AA313" s="145"/>
      <c r="AB313" s="195"/>
      <c r="AC313" s="1"/>
      <c r="AD313" s="1"/>
      <c r="AE313" s="13"/>
    </row>
    <row r="314" spans="1:31" ht="16.5" customHeight="1">
      <c r="B314" s="103"/>
      <c r="C314" s="463"/>
      <c r="D314" s="463"/>
      <c r="E314" s="463"/>
      <c r="F314" s="463"/>
      <c r="G314" s="463"/>
      <c r="H314" s="463"/>
      <c r="I314" s="463"/>
      <c r="J314" s="463"/>
      <c r="K314" s="463"/>
      <c r="L314" s="463"/>
      <c r="M314" s="463"/>
      <c r="N314" s="463"/>
      <c r="O314" s="463"/>
      <c r="P314" s="1"/>
      <c r="T314" s="14"/>
      <c r="U314" s="464" t="s">
        <v>8</v>
      </c>
      <c r="V314" s="464"/>
      <c r="W314" s="464"/>
      <c r="X314" s="464"/>
      <c r="Y314" s="464"/>
      <c r="Z314" s="1"/>
      <c r="AA314" s="14"/>
      <c r="AB314" s="333" t="str">
        <f>IF((AND(Annexes!F5&gt;1,Annexes!F5&lt;=Annexes!H6)),"OUI","NON")</f>
        <v>NON</v>
      </c>
      <c r="AC314" s="1"/>
      <c r="AD314" s="1"/>
      <c r="AE314" s="13"/>
    </row>
    <row r="315" spans="1:31" ht="16.5" customHeight="1">
      <c r="B315" s="103"/>
      <c r="C315" s="463"/>
      <c r="D315" s="463"/>
      <c r="E315" s="463"/>
      <c r="F315" s="463"/>
      <c r="G315" s="463"/>
      <c r="H315" s="463"/>
      <c r="I315" s="463"/>
      <c r="J315" s="463"/>
      <c r="K315" s="463"/>
      <c r="L315" s="463"/>
      <c r="M315" s="463"/>
      <c r="N315" s="463"/>
      <c r="O315" s="463"/>
      <c r="P315" s="1"/>
      <c r="T315" s="14"/>
      <c r="U315" s="337"/>
      <c r="V315" s="337"/>
      <c r="W315" s="337"/>
      <c r="X315" s="337"/>
      <c r="Y315" s="337" t="s">
        <v>9</v>
      </c>
      <c r="Z315" s="1"/>
      <c r="AA315" s="14"/>
      <c r="AB315" s="333" t="str">
        <f>IF(AND(Annexes!F7&gt;1,Annexes!F7&lt;=Annexes!H8),"OUI","NON")</f>
        <v>NON</v>
      </c>
      <c r="AC315" s="1"/>
      <c r="AD315" s="1"/>
      <c r="AE315" s="13"/>
    </row>
    <row r="316" spans="1:31" ht="16.5" customHeight="1">
      <c r="B316" s="103"/>
      <c r="C316" s="335"/>
      <c r="D316" s="309"/>
      <c r="E316" s="359" t="str">
        <f>IF(AB320="NON","",IF(OR(AB314="OUI",AND(OR(AB316="OUI",AB315="OUI"),OR(AB310&gt;=Annexes!P5,AB311&gt;=Annexes!P5,'Mes Aides'!AB145&gt;=0.1)),AB317=TRUE,AB318=TRUE),"",IF(AND(OR(AB316="OUI",AB315="OUI"),OR(AB310&lt;Annexes!P5,AB311&lt;Annexes!P5,'Mes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totale ou partielle "&amp;"avec 20 % de perte et ne fait pas partie des activités mentionnées aux annexes 1, 2 et 3 ou dans un centre commercial du décret ayant une perte significative.")))</f>
        <v>L'entreprise ne fait pas partie des entreprises ayant une fermeture administrative totale ou partielle avec 20 % de perte et ne fait pas partie des activités mentionnées aux annexes 1, 2 et 3 ou dans un centre commercial du décret ayant une perte significative.</v>
      </c>
      <c r="F316" s="359"/>
      <c r="G316" s="359"/>
      <c r="H316" s="359"/>
      <c r="I316" s="359"/>
      <c r="J316" s="359"/>
      <c r="K316" s="359"/>
      <c r="L316" s="359"/>
      <c r="M316" s="359"/>
      <c r="N316" s="359"/>
      <c r="O316" s="359"/>
      <c r="P316" s="1"/>
      <c r="T316" s="436" t="s">
        <v>455</v>
      </c>
      <c r="U316" s="435"/>
      <c r="V316" s="435"/>
      <c r="W316" s="435"/>
      <c r="X316" s="435"/>
      <c r="Y316" s="435"/>
      <c r="Z316" s="1"/>
      <c r="AA316" s="14"/>
      <c r="AB316" s="333" t="str">
        <f>IF(OR(Annexes!M17=TRUE,Annexes!M23=TRUE,Annexes!M24=TRUE),"OUI","NON")</f>
        <v>NON</v>
      </c>
      <c r="AC316" s="1"/>
      <c r="AD316" s="1"/>
      <c r="AE316" s="13"/>
    </row>
    <row r="317" spans="1:31" ht="16.5" customHeight="1">
      <c r="B317" s="103"/>
      <c r="C317" s="335"/>
      <c r="D317" s="309"/>
      <c r="E317" s="359"/>
      <c r="F317" s="359"/>
      <c r="G317" s="359"/>
      <c r="H317" s="359"/>
      <c r="I317" s="359"/>
      <c r="J317" s="359"/>
      <c r="K317" s="359"/>
      <c r="L317" s="359"/>
      <c r="M317" s="359"/>
      <c r="N317" s="359"/>
      <c r="O317" s="359"/>
      <c r="P317" s="1"/>
      <c r="T317" s="14"/>
      <c r="U317" s="435" t="s">
        <v>313</v>
      </c>
      <c r="V317" s="435"/>
      <c r="W317" s="435"/>
      <c r="X317" s="435"/>
      <c r="Y317" s="435"/>
      <c r="Z317" s="1"/>
      <c r="AA317" s="14"/>
      <c r="AB317" s="333" t="b">
        <f>IF(Annexes!M26=TRUE,TRUE,FALSE)</f>
        <v>0</v>
      </c>
      <c r="AC317" s="1"/>
      <c r="AD317" s="1"/>
      <c r="AE317" s="13"/>
    </row>
    <row r="318" spans="1:31" ht="16.5" customHeight="1">
      <c r="B318" s="169"/>
      <c r="C318" s="335"/>
      <c r="D318" s="309"/>
      <c r="E318" s="359"/>
      <c r="F318" s="359"/>
      <c r="G318" s="359"/>
      <c r="H318" s="359"/>
      <c r="I318" s="359"/>
      <c r="J318" s="359"/>
      <c r="K318" s="359"/>
      <c r="L318" s="359"/>
      <c r="M318" s="359"/>
      <c r="N318" s="359"/>
      <c r="O318" s="359"/>
      <c r="P318" s="1"/>
      <c r="T318" s="14"/>
      <c r="U318" s="435" t="s">
        <v>394</v>
      </c>
      <c r="V318" s="435"/>
      <c r="W318" s="435"/>
      <c r="X318" s="435"/>
      <c r="Y318" s="435"/>
      <c r="Z318" s="1"/>
      <c r="AA318" s="14"/>
      <c r="AB318" s="333" t="b">
        <f>IF(Annexes!M27=TRUE,TRUE,FALSE)</f>
        <v>0</v>
      </c>
      <c r="AC318" s="1"/>
      <c r="AD318" s="1"/>
      <c r="AE318" s="13"/>
    </row>
    <row r="319" spans="1:31" ht="16.5" customHeight="1">
      <c r="A319" s="99"/>
      <c r="B319" s="103"/>
      <c r="C319" s="335"/>
      <c r="D319" s="465"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19" s="465"/>
      <c r="F319" s="465"/>
      <c r="G319" s="465"/>
      <c r="H319" s="465"/>
      <c r="I319" s="465"/>
      <c r="J319" s="465"/>
      <c r="K319" s="465"/>
      <c r="L319" s="465"/>
      <c r="M319" s="465"/>
      <c r="N319" s="465"/>
      <c r="O319" s="465"/>
      <c r="P319" s="1"/>
      <c r="T319" s="14"/>
      <c r="U319" s="333"/>
      <c r="V319" s="333"/>
      <c r="W319" s="333"/>
      <c r="X319" s="333"/>
      <c r="Y319" s="333"/>
      <c r="Z319" s="1"/>
      <c r="AA319" s="14"/>
      <c r="AB319" s="333"/>
      <c r="AC319" s="1"/>
      <c r="AD319" s="1"/>
      <c r="AE319" s="13"/>
    </row>
    <row r="320" spans="1:31" ht="16.5" customHeight="1">
      <c r="A320" s="99"/>
      <c r="B320" s="103"/>
      <c r="C320" s="335"/>
      <c r="D320" s="466"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20" s="466"/>
      <c r="F320" s="466"/>
      <c r="G320" s="466"/>
      <c r="H320" s="466"/>
      <c r="I320" s="466"/>
      <c r="J320" s="466"/>
      <c r="K320" s="466"/>
      <c r="L320" s="466"/>
      <c r="M320" s="466"/>
      <c r="N320" s="466"/>
      <c r="O320" s="466"/>
      <c r="P320" s="1"/>
      <c r="T320" s="14"/>
      <c r="U320" s="467" t="s">
        <v>72</v>
      </c>
      <c r="V320" s="467"/>
      <c r="W320" s="467"/>
      <c r="X320" s="467"/>
      <c r="Y320" s="467"/>
      <c r="Z320" s="139"/>
      <c r="AA320" s="145"/>
      <c r="AB320" s="332" t="str">
        <f>IF(AB301="Oui","Oui","Non")</f>
        <v>Oui</v>
      </c>
      <c r="AC320" s="139"/>
      <c r="AD320" s="1"/>
      <c r="AE320" s="13"/>
    </row>
    <row r="321" spans="1:31" ht="16.5" customHeight="1">
      <c r="A321" s="99"/>
      <c r="B321" s="103"/>
      <c r="C321" s="335"/>
      <c r="D321" s="466"/>
      <c r="E321" s="466"/>
      <c r="F321" s="466"/>
      <c r="G321" s="466"/>
      <c r="H321" s="466"/>
      <c r="I321" s="466"/>
      <c r="J321" s="466"/>
      <c r="K321" s="466"/>
      <c r="L321" s="466"/>
      <c r="M321" s="466"/>
      <c r="N321" s="466"/>
      <c r="O321" s="466"/>
      <c r="P321" s="1"/>
      <c r="T321" s="14"/>
      <c r="U321" s="467" t="s">
        <v>84</v>
      </c>
      <c r="V321" s="467"/>
      <c r="W321" s="467"/>
      <c r="X321" s="467"/>
      <c r="Y321" s="467"/>
      <c r="Z321" s="139"/>
      <c r="AA321" s="145"/>
      <c r="AB321" s="332">
        <f>IF('Mon Entreprise'!K8&gt;=Annexes!O20,IF(AB290&gt;=AB292,AB290,AB292),IF(AB290&gt;=AB291,AB290,AB291))</f>
        <v>0</v>
      </c>
      <c r="AC321" s="139"/>
      <c r="AD321" s="1"/>
      <c r="AE321" s="13"/>
    </row>
    <row r="322" spans="1:31" ht="16.5" customHeight="1">
      <c r="B322" s="103"/>
      <c r="C322" s="335"/>
      <c r="D322" s="216" t="str">
        <f>IF(OR(AB314="OUI",AB317=TRUE),"- Sans ticket modérateur",IF(AND(OR(AB316="OUI",AB315="OUI"),OR(AB310&gt;=0.8,AB311&gt;=0.8,AB312&gt;=0.1)),"- La Perte de référence est plafonnée à 80 %, soit "&amp;ROUND(AB325,0)&amp;" €","- Sans ticket modérateur"))</f>
        <v>- Sans ticket modérateur</v>
      </c>
      <c r="E322" s="328"/>
      <c r="F322" s="328"/>
      <c r="G322" s="328"/>
      <c r="H322" s="328"/>
      <c r="I322" s="328"/>
      <c r="J322" s="328"/>
      <c r="K322" s="328"/>
      <c r="L322" s="328"/>
      <c r="M322" s="328"/>
      <c r="N322" s="328"/>
      <c r="O322" s="328"/>
      <c r="P322" s="1"/>
      <c r="T322" s="14"/>
      <c r="U322" s="467" t="s">
        <v>85</v>
      </c>
      <c r="V322" s="467"/>
      <c r="W322" s="467"/>
      <c r="X322" s="467"/>
      <c r="Y322" s="467"/>
      <c r="Z322" s="139"/>
      <c r="AA322" s="145"/>
      <c r="AB322" s="332">
        <f>IF('Mon Entreprise'!K8&gt;=Annexes!O20,IF(AB290&gt;=AB292,AE290,AE292),IF(AB290&gt;=AB291,AE290,AE291))</f>
        <v>0</v>
      </c>
      <c r="AC322" s="139"/>
      <c r="AD322" s="1"/>
      <c r="AE322" s="13"/>
    </row>
    <row r="323" spans="1:31" ht="16.5" customHeight="1" thickBot="1">
      <c r="B323" s="103"/>
      <c r="C323" s="335"/>
      <c r="D323" s="328"/>
      <c r="E323" s="328"/>
      <c r="F323" s="328"/>
      <c r="G323" s="328"/>
      <c r="H323" s="328"/>
      <c r="I323" s="328"/>
      <c r="J323" s="328"/>
      <c r="K323" s="328"/>
      <c r="L323" s="328"/>
      <c r="M323" s="328"/>
      <c r="N323" s="328"/>
      <c r="O323" s="328"/>
      <c r="P323" s="1"/>
      <c r="T323" s="14"/>
      <c r="U323" s="447" t="s">
        <v>74</v>
      </c>
      <c r="V323" s="447"/>
      <c r="W323" s="447"/>
      <c r="X323" s="447"/>
      <c r="Y323" s="447"/>
      <c r="Z323" s="139"/>
      <c r="AA323" s="145"/>
      <c r="AB323" s="332">
        <f>IF(OR(AB314="OUI",AB317=TRUE),1,IF(AND(OR(AB316="OUI",AB315="OUI"),OR(AB310&gt;=0.8,AB311&gt;=0.8,AB312&gt;=0.1)),0.8,1))</f>
        <v>1</v>
      </c>
      <c r="AC323" s="139"/>
      <c r="AD323" s="1"/>
      <c r="AE323" s="13"/>
    </row>
    <row r="324" spans="1:31" ht="16.5" customHeight="1">
      <c r="B324" s="103"/>
      <c r="C324" s="335"/>
      <c r="D324" s="450" t="str">
        <f>IFERROR(IF(AB320="NON","Vous avez débuté votre activité après le 31 Décembre 2020, vous ne pouvez donc pas bénéficier de cette aide",IF(OR(AB317=TRUE,AND(AB318=TRUE,AB322&gt;=0.5)),IF(AB325&gt;Annexes!O6,"Dans votre cas, l'aide est Plafonnée, à "&amp;Annexes!O6&amp;" € pour le mois de Mars","Vous pouvez bénéficier, au titre de cette aide, d'un montant de "&amp;ROUND(AB325,0)&amp;" € pour le mois de Mars"),IF(AB322&gt;=0.5,IF(OR(AB314="OUI",AND(OR(AB316="OUI",AB315="OUI"),OR(AB310&gt;=Annexes!P5,AB311&gt;=Annexes!P5,AB312&gt;=0.1))),IF(AB325&gt;Annexes!O6,"Dans votre cas, l'aide est Plafonnée, à "&amp;Annexes!O6&amp;" € pour le mois de Mars","Vous pouvez bénéficier, au titre de cette aide, d'un montant de "&amp;ROUND(AB325,0)&amp;" € pour le mois de Mars"),IF(AND(OR(AB316="OUI",AB315="OUI"),OR(AB310&lt;Annexes!P5,AB311&lt;Annexes!P5)),"L'entreprise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Mars 2021"))),"Vous n'avez pas indiqué de chiffre d'affaires de référence")</f>
        <v>L'entreprise n'a pas une perte d'au moins 50 % en Mars 2021</v>
      </c>
      <c r="E324" s="451"/>
      <c r="F324" s="451"/>
      <c r="G324" s="451"/>
      <c r="H324" s="451"/>
      <c r="I324" s="451"/>
      <c r="J324" s="451"/>
      <c r="K324" s="451"/>
      <c r="L324" s="451"/>
      <c r="M324" s="451"/>
      <c r="N324" s="451"/>
      <c r="O324" s="452"/>
      <c r="P324" s="1"/>
      <c r="T324" s="14"/>
      <c r="U324" s="447" t="s">
        <v>80</v>
      </c>
      <c r="V324" s="447"/>
      <c r="W324" s="447"/>
      <c r="X324" s="447"/>
      <c r="Y324" s="447"/>
      <c r="Z324" s="139"/>
      <c r="AA324" s="145"/>
      <c r="AB324" s="332">
        <f>IF('Mon Entreprise'!K8&gt;=Annexes!O20,IF(AB290&gt;=AB292,Y290,Y292),IF(AB290&gt;=AB291,Y290,Y291))</f>
        <v>0</v>
      </c>
      <c r="AC324" s="139"/>
      <c r="AD324" s="1"/>
      <c r="AE324" s="13"/>
    </row>
    <row r="325" spans="1:31" ht="16.5" customHeight="1">
      <c r="B325" s="174"/>
      <c r="C325" s="335"/>
      <c r="D325" s="453"/>
      <c r="E325" s="454"/>
      <c r="F325" s="454"/>
      <c r="G325" s="454"/>
      <c r="H325" s="454"/>
      <c r="I325" s="454"/>
      <c r="J325" s="454"/>
      <c r="K325" s="454"/>
      <c r="L325" s="454"/>
      <c r="M325" s="454"/>
      <c r="N325" s="454"/>
      <c r="O325" s="455"/>
      <c r="P325" s="1"/>
      <c r="T325" s="14"/>
      <c r="U325" s="435" t="s">
        <v>104</v>
      </c>
      <c r="V325" s="435"/>
      <c r="W325" s="435"/>
      <c r="X325" s="435"/>
      <c r="Y325" s="435"/>
      <c r="Z325" s="1"/>
      <c r="AA325" s="14"/>
      <c r="AB325" s="333">
        <f>IF(AB323=1,AB321,IF(AB321*AB323&gt;1500,IF(AB321&gt;1500,AB321*AB323,"Impossible"),IF(AB321&lt;1500,AB321,1500)))</f>
        <v>0</v>
      </c>
      <c r="AC325" s="1"/>
      <c r="AD325" s="1"/>
      <c r="AE325" s="13"/>
    </row>
    <row r="326" spans="1:31" ht="16.5" customHeight="1">
      <c r="B326" s="103"/>
      <c r="C326" s="335"/>
      <c r="D326" s="453"/>
      <c r="E326" s="454"/>
      <c r="F326" s="454"/>
      <c r="G326" s="454"/>
      <c r="H326" s="454"/>
      <c r="I326" s="454"/>
      <c r="J326" s="454"/>
      <c r="K326" s="454"/>
      <c r="L326" s="454"/>
      <c r="M326" s="454"/>
      <c r="N326" s="454"/>
      <c r="O326" s="455"/>
      <c r="P326" s="1"/>
      <c r="T326" s="14"/>
      <c r="U326" s="333"/>
      <c r="V326" s="333"/>
      <c r="W326" s="333"/>
      <c r="X326" s="333"/>
      <c r="Y326" s="333"/>
      <c r="Z326" s="1"/>
      <c r="AA326" s="1"/>
      <c r="AB326" s="1"/>
      <c r="AC326" s="1"/>
      <c r="AD326" s="1"/>
      <c r="AE326" s="13"/>
    </row>
    <row r="327" spans="1:31" ht="16.5" customHeight="1" thickBot="1">
      <c r="B327" s="103"/>
      <c r="C327" s="335"/>
      <c r="D327" s="456"/>
      <c r="E327" s="457"/>
      <c r="F327" s="457"/>
      <c r="G327" s="457"/>
      <c r="H327" s="457"/>
      <c r="I327" s="457"/>
      <c r="J327" s="457"/>
      <c r="K327" s="457"/>
      <c r="L327" s="457"/>
      <c r="M327" s="457"/>
      <c r="N327" s="457"/>
      <c r="O327" s="458"/>
      <c r="P327" s="1"/>
      <c r="T327" s="14"/>
      <c r="U327" s="435"/>
      <c r="V327" s="435"/>
      <c r="W327" s="435"/>
      <c r="X327" s="435"/>
      <c r="Y327" s="435"/>
      <c r="Z327" s="1"/>
      <c r="AA327" s="1"/>
      <c r="AB327" s="1"/>
      <c r="AC327" s="1"/>
      <c r="AD327" s="1"/>
      <c r="AE327" s="13"/>
    </row>
    <row r="328" spans="1:31" ht="16.5" customHeight="1">
      <c r="B328" s="103"/>
      <c r="C328" s="170"/>
      <c r="D328" s="175"/>
      <c r="E328" s="175"/>
      <c r="F328" s="175"/>
      <c r="G328" s="175"/>
      <c r="H328" s="175"/>
      <c r="I328" s="175"/>
      <c r="J328" s="175"/>
      <c r="K328" s="175"/>
      <c r="L328" s="175"/>
      <c r="M328" s="175"/>
      <c r="N328" s="175"/>
      <c r="O328" s="175"/>
      <c r="P328" s="1"/>
      <c r="T328" s="14"/>
      <c r="U328" s="333"/>
      <c r="V328" s="333"/>
      <c r="W328" s="333"/>
      <c r="X328" s="333"/>
      <c r="Y328" s="333"/>
      <c r="Z328" s="1"/>
      <c r="AA328" s="1"/>
      <c r="AB328" s="1"/>
      <c r="AC328" s="1"/>
      <c r="AD328" s="1"/>
      <c r="AE328" s="13"/>
    </row>
    <row r="329" spans="1:31" ht="16.5" customHeight="1">
      <c r="B329" s="103"/>
      <c r="C329" s="335"/>
      <c r="D329" s="328"/>
      <c r="E329" s="328"/>
      <c r="F329" s="328"/>
      <c r="G329" s="328"/>
      <c r="H329" s="328"/>
      <c r="I329" s="328"/>
      <c r="J329" s="328"/>
      <c r="K329" s="328"/>
      <c r="L329" s="328"/>
      <c r="M329" s="328"/>
      <c r="N329" s="328"/>
      <c r="O329" s="328"/>
      <c r="P329" s="1"/>
      <c r="T329" s="14"/>
      <c r="U329" s="1"/>
      <c r="V329" s="1"/>
      <c r="W329" s="1"/>
      <c r="X329" s="1"/>
      <c r="Y329" s="1"/>
      <c r="Z329" s="1"/>
      <c r="AA329" s="1"/>
      <c r="AB329" s="1"/>
      <c r="AC329" s="1"/>
      <c r="AD329" s="1"/>
      <c r="AE329" s="13"/>
    </row>
    <row r="330" spans="1:31" ht="16.5" customHeight="1">
      <c r="B330" s="103"/>
      <c r="C330" s="469" t="s">
        <v>398</v>
      </c>
      <c r="D330" s="469"/>
      <c r="E330" s="469"/>
      <c r="F330" s="469"/>
      <c r="G330" s="469"/>
      <c r="H330" s="469"/>
      <c r="I330" s="469"/>
      <c r="J330" s="469"/>
      <c r="K330" s="469"/>
      <c r="L330" s="469"/>
      <c r="M330" s="469"/>
      <c r="N330" s="469"/>
      <c r="O330" s="469"/>
      <c r="P330" s="1"/>
      <c r="T330" s="14"/>
      <c r="U330" s="1"/>
      <c r="V330" s="1"/>
      <c r="W330" s="1"/>
      <c r="X330" s="1"/>
      <c r="Y330" s="1"/>
      <c r="Z330" s="1"/>
      <c r="AA330" s="1"/>
      <c r="AB330" s="1"/>
      <c r="AC330" s="1"/>
      <c r="AD330" s="1"/>
      <c r="AE330" s="13"/>
    </row>
    <row r="331" spans="1:31" ht="16.5" customHeight="1">
      <c r="B331" s="103"/>
      <c r="C331" s="469"/>
      <c r="D331" s="469"/>
      <c r="E331" s="469"/>
      <c r="F331" s="469"/>
      <c r="G331" s="469"/>
      <c r="H331" s="469"/>
      <c r="I331" s="469"/>
      <c r="J331" s="469"/>
      <c r="K331" s="469"/>
      <c r="L331" s="469"/>
      <c r="M331" s="469"/>
      <c r="N331" s="469"/>
      <c r="O331" s="469"/>
      <c r="P331" s="1"/>
      <c r="T331" s="14"/>
      <c r="U331" s="1"/>
      <c r="V331" s="1"/>
      <c r="W331" s="1"/>
      <c r="X331" s="1"/>
      <c r="Y331" s="1"/>
      <c r="Z331" s="1"/>
      <c r="AA331" s="1"/>
      <c r="AB331" s="1"/>
      <c r="AC331" s="1"/>
      <c r="AD331" s="1"/>
      <c r="AE331" s="13"/>
    </row>
    <row r="332" spans="1:31" ht="16.5" customHeight="1">
      <c r="B332" s="103"/>
      <c r="C332" s="469"/>
      <c r="D332" s="469"/>
      <c r="E332" s="469"/>
      <c r="F332" s="469"/>
      <c r="G332" s="469"/>
      <c r="H332" s="469"/>
      <c r="I332" s="469"/>
      <c r="J332" s="469"/>
      <c r="K332" s="469"/>
      <c r="L332" s="469"/>
      <c r="M332" s="469"/>
      <c r="N332" s="469"/>
      <c r="O332" s="469"/>
      <c r="P332" s="1"/>
      <c r="T332" s="14"/>
      <c r="U332" s="1"/>
      <c r="V332" s="1"/>
      <c r="W332" s="1"/>
      <c r="X332" s="1"/>
      <c r="Y332" s="1"/>
      <c r="Z332" s="1"/>
      <c r="AA332" s="1"/>
      <c r="AB332" s="1"/>
      <c r="AC332" s="1"/>
      <c r="AD332" s="1"/>
      <c r="AE332" s="13"/>
    </row>
    <row r="333" spans="1:31" ht="16.5" customHeight="1">
      <c r="B333" s="174"/>
      <c r="C333" s="469"/>
      <c r="D333" s="469"/>
      <c r="E333" s="469"/>
      <c r="F333" s="469"/>
      <c r="G333" s="469"/>
      <c r="H333" s="469"/>
      <c r="I333" s="469"/>
      <c r="J333" s="469"/>
      <c r="K333" s="469"/>
      <c r="L333" s="469"/>
      <c r="M333" s="469"/>
      <c r="N333" s="469"/>
      <c r="O333" s="469"/>
      <c r="P333" s="1"/>
      <c r="T333" s="14"/>
      <c r="U333" s="1"/>
      <c r="V333" s="1"/>
      <c r="W333" s="1"/>
      <c r="X333" s="1"/>
      <c r="Y333" s="1"/>
      <c r="Z333" s="1"/>
      <c r="AA333" s="1"/>
      <c r="AB333" s="1"/>
      <c r="AC333" s="1"/>
      <c r="AD333" s="1"/>
      <c r="AE333" s="13"/>
    </row>
    <row r="334" spans="1:31" ht="16.5" customHeight="1">
      <c r="B334" s="174"/>
      <c r="C334" s="335"/>
      <c r="D334" s="309"/>
      <c r="E334" s="465" t="str">
        <f>IF(AB320="NON","",IF(OR(AB314="OUI",AND(OR(AB316="OUI",AB315="OUI"),OR(AB310&gt;=Annexes!P5,AB311&gt;=Annexes!P5,'Mes Aides'!AB145&gt;=0.1)),AB317=TRUE,AB318=TRUE),"",IF(AND(OR(AB316="OUI",AB315="OUI"),OR(AB310&lt;Annexes!P5,AB311&lt;Annexes!P5,'Mes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totale ou partielle sur le mois avec une perte de 20 % de CA et ne fait pas partie des activités mentionnées aux annexes 1, 2 et 3 ou dans un centre commercial du décret.")))</f>
        <v>L'entreprise ne fait pas partie des entreprises ayant une fermeture administrative totale ou partielle sur le mois avec une perte de 20 % de CA et ne fait pas partie des activités mentionnées aux annexes 1, 2 et 3 ou dans un centre commercial du décret.</v>
      </c>
      <c r="F334" s="465"/>
      <c r="G334" s="465"/>
      <c r="H334" s="465"/>
      <c r="I334" s="465"/>
      <c r="J334" s="465"/>
      <c r="K334" s="465"/>
      <c r="L334" s="465"/>
      <c r="M334" s="465"/>
      <c r="N334" s="465"/>
      <c r="O334" s="465"/>
      <c r="P334" s="1"/>
      <c r="T334" s="14"/>
      <c r="U334" s="447" t="s">
        <v>82</v>
      </c>
      <c r="V334" s="447"/>
      <c r="W334" s="447"/>
      <c r="X334" s="447"/>
      <c r="Y334" s="447"/>
      <c r="Z334" s="68"/>
      <c r="AA334" s="1"/>
      <c r="AB334" s="1">
        <f>IFERROR(IF(AB301="Non",0,IF(OR(AND(AB304&lt;0.5,AB318=TRUE),(AB304&gt;=0.5)),IF(AB303&gt;Annexes!O5,Annexes!O5,ROUND(AB303,0)),0)),0)</f>
        <v>0</v>
      </c>
      <c r="AC334" s="1"/>
      <c r="AD334" s="1"/>
      <c r="AE334" s="13"/>
    </row>
    <row r="335" spans="1:31" ht="15" customHeight="1">
      <c r="B335" s="174"/>
      <c r="C335" s="335"/>
      <c r="D335" s="309"/>
      <c r="E335" s="465"/>
      <c r="F335" s="465"/>
      <c r="G335" s="465"/>
      <c r="H335" s="465"/>
      <c r="I335" s="465"/>
      <c r="J335" s="465"/>
      <c r="K335" s="465"/>
      <c r="L335" s="465"/>
      <c r="M335" s="465"/>
      <c r="N335" s="465"/>
      <c r="O335" s="465"/>
      <c r="P335" s="1"/>
      <c r="T335" s="14"/>
      <c r="U335" s="447" t="s">
        <v>81</v>
      </c>
      <c r="V335" s="447"/>
      <c r="W335" s="447"/>
      <c r="X335" s="447"/>
      <c r="Y335" s="447"/>
      <c r="Z335" s="68"/>
      <c r="AA335" s="1"/>
      <c r="AB335" s="1">
        <f>IFERROR(IF(AB320="NON",0,IF(OR(AB317=TRUE,AND(AB318=TRUE,AB322&gt;=0.5)),IF(AB325&gt;Annexes!O6,Annexes!O6,ROUND(AB325,0)),IF(AB322&gt;=0.5,IF(OR(AB314="OUI",AND(OR(AB316="OUI",AB315="OUI"),OR(AB310&gt;=Annexes!P5,AB311&gt;=Annexes!P5,AB312&gt;=0.1))),IF(AB325&gt;Annexes!O6,Annexes!O6,ROUND(AB325,0)),IF(AND(OR(AB316="OUI",AB315="OUI"),OR(AB310&lt;Annexes!P5,AB311&lt;Annexes!P5)),0,0)),0))),0)</f>
        <v>0</v>
      </c>
      <c r="AC335" s="1"/>
      <c r="AD335" s="1"/>
      <c r="AE335" s="13"/>
    </row>
    <row r="336" spans="1:31" ht="15" customHeight="1">
      <c r="B336" s="174"/>
      <c r="C336" s="335"/>
      <c r="D336" s="309"/>
      <c r="E336" s="465"/>
      <c r="F336" s="465"/>
      <c r="G336" s="465"/>
      <c r="H336" s="465"/>
      <c r="I336" s="465"/>
      <c r="J336" s="465"/>
      <c r="K336" s="465"/>
      <c r="L336" s="465"/>
      <c r="M336" s="465"/>
      <c r="N336" s="465"/>
      <c r="O336" s="465"/>
      <c r="P336" s="1"/>
      <c r="T336" s="14"/>
      <c r="U336" s="447" t="s">
        <v>399</v>
      </c>
      <c r="V336" s="447"/>
      <c r="W336" s="447"/>
      <c r="X336" s="447"/>
      <c r="Y336" s="447"/>
      <c r="Z336" s="68"/>
      <c r="AA336" s="1"/>
      <c r="AB336" s="1">
        <f>IFERROR(IF(AB320="NON",0,IF(OR(AB317=TRUE,AND(AB318=TRUE,AB322&gt;=0.5)),IF(AB324=0,0,IF(AB321&lt;AB324*0.2,ROUND(AB321,0),IF(AB324*0.2&gt;=200000,Annexes!O8,ROUND(AB324*0.2,0)))),IF(OR(AB314="OUI",AND(AB315="OUI",OR(AB310&gt;=0.8,AB311&gt;=0.8,AB312&gt;=0.1))),IF(AB322&gt;=0.7,IF(AB321&lt;AB324*0.2,ROUND(AB321,0),IF(AB324*0.2&gt;=200000,Annexes!O8,ROUND(AB324*0.2,0))),IF(AB322&gt;=0.5,IF(AB321&lt;AB324*0.15,ROUND(AB321,0),IF(AB324*0.15&gt;=200000,Annexes!O8,ROUND(AB324*0.15,0))),IF(AND(AB316="OUI",OR(AB310&gt;=0.8,AB311&gt;=0.8,AB312&gt;=0.1),AB322&gt;=0.7),IF(AB321&lt;AB324*0.2,ROUND(AB321,0),IF(AB324*0.2&gt;=200000,Annexes!O8,ROUND(AB324*0.2,0))),0))),IF(AND(AB316="OUI",OR(AB310&gt;=0.8,AB311&gt;=0.8,AB312&gt;=0.1),AB322&gt;=0.7),IF(AB321&lt;AB324*0.2,ROUND(AB321,0),IF(AB324*0.2&gt;=200000,Annexes!O8,ROUND(AB324*0.2,0))),0)))),0)</f>
        <v>0</v>
      </c>
      <c r="AC336" s="1"/>
      <c r="AD336" s="1"/>
      <c r="AE336" s="13"/>
    </row>
    <row r="337" spans="2:31" ht="16.5" customHeight="1">
      <c r="B337" s="174"/>
      <c r="C337" s="335"/>
      <c r="D337" s="359" t="str">
        <f>IFERROR(IF('Mon Entreprise'!K8&gt;=Annexes!O20,IF(AB290&gt;=AB292,"- Le CA de référence est celui de Mars 2019, soit une perte de "&amp;ROUND(AB290,0)&amp;" €"&amp;" ==&gt; "&amp;ROUND(AE290*100,0)&amp;" %","- Le CA de référence est celui de la création, soit une perte de "&amp;ROUND(AB292,0)&amp;" €"&amp;" ==&gt; "&amp;ROUND(AE292*100,0)&amp;" %"),IF(AB290&gt;=AB291,"- Le CA de référence est celui de Mars 2019, soit une perte de "&amp;ROUND(AB290,0)&amp;" €"&amp;" ==&gt; "&amp;ROUND(AE290*100,0)&amp;" %","- Le CA de référence est celui de l'exercice 2019, soit une perte de "&amp;ROUND(AB291,0)&amp;" €"&amp;" ==&gt; "&amp;ROUND(AE291*100,0)&amp;" %")),"")</f>
        <v>- Le CA de référence est celui de Mars 2019, soit une perte de 0 € ==&gt; 0 %</v>
      </c>
      <c r="E337" s="359"/>
      <c r="F337" s="359"/>
      <c r="G337" s="359"/>
      <c r="H337" s="359"/>
      <c r="I337" s="359"/>
      <c r="J337" s="359"/>
      <c r="K337" s="359"/>
      <c r="L337" s="359"/>
      <c r="M337" s="359"/>
      <c r="N337" s="359"/>
      <c r="O337" s="359"/>
      <c r="P337" s="328"/>
      <c r="Q337" s="328"/>
      <c r="T337" s="14"/>
      <c r="U337" s="1"/>
      <c r="V337" s="1"/>
      <c r="W337" s="1"/>
      <c r="X337" s="1"/>
      <c r="Y337" s="1"/>
      <c r="Z337" s="1"/>
      <c r="AA337" s="1"/>
      <c r="AB337" s="1"/>
      <c r="AC337" s="1"/>
      <c r="AD337" s="1"/>
      <c r="AE337" s="13"/>
    </row>
    <row r="338" spans="2:31" ht="16.5" customHeight="1">
      <c r="B338" s="174"/>
      <c r="C338" s="335"/>
      <c r="D338" s="466" t="str">
        <f>IFERROR(IF('Mon Entreprise'!K8&gt;=Annexes!O20,"",IF(AB290&lt;AB291,"A noter qu'il convient de choisir l'option retenue par l'entreprise lors de sa demande au titre du mois Février 2021, si le CA de référence était celui de février 2019, il convient de prendre celui de Mars 2019, soit "&amp;ROUND(AB290,0)&amp;" €"&amp;" ==&gt; "&amp;ROUND(AE290*100,0)&amp;" %","A noter qu'il convient de choisir l'option retenue par l'entreprise lors de sa demande au titre du mois Février 2021, si le CA de référence était celui de l'exercice 2019, il convient de prendre celui de l'exercie 2019, soit une perte de "&amp;ROUND(AB291,0)&amp;" €"&amp;" ==&gt; "&amp;ROUND(AE291*100,0)&amp;" %")),"")</f>
        <v>A noter qu'il convient de choisir l'option retenue par l'entreprise lors de sa demande au titre du mois Février 2021, si le CA de référence était celui de l'exercice 2019, il convient de prendre celui de l'exercie 2019, soit une perte de 0 € ==&gt; 0 %</v>
      </c>
      <c r="E338" s="466"/>
      <c r="F338" s="466"/>
      <c r="G338" s="466"/>
      <c r="H338" s="466"/>
      <c r="I338" s="466"/>
      <c r="J338" s="466"/>
      <c r="K338" s="466"/>
      <c r="L338" s="466"/>
      <c r="M338" s="466"/>
      <c r="N338" s="466"/>
      <c r="O338" s="466"/>
      <c r="P338" s="328"/>
      <c r="Q338" s="328"/>
      <c r="T338" s="14"/>
      <c r="U338" s="1"/>
      <c r="V338" s="1"/>
      <c r="W338" s="1"/>
      <c r="X338" s="1"/>
      <c r="Y338" s="1"/>
      <c r="Z338" s="1"/>
      <c r="AA338" s="1"/>
      <c r="AB338" s="1"/>
      <c r="AC338" s="1"/>
      <c r="AD338" s="1"/>
      <c r="AE338" s="13"/>
    </row>
    <row r="339" spans="2:31" ht="16.5" customHeight="1">
      <c r="B339" s="174"/>
      <c r="C339" s="335"/>
      <c r="D339" s="466"/>
      <c r="E339" s="466"/>
      <c r="F339" s="466"/>
      <c r="G339" s="466"/>
      <c r="H339" s="466"/>
      <c r="I339" s="466"/>
      <c r="J339" s="466"/>
      <c r="K339" s="466"/>
      <c r="L339" s="466"/>
      <c r="M339" s="466"/>
      <c r="N339" s="466"/>
      <c r="O339" s="466"/>
      <c r="P339" s="328"/>
      <c r="Q339" s="328"/>
      <c r="T339" s="14"/>
      <c r="U339" s="1"/>
      <c r="V339" s="1"/>
      <c r="W339" s="1"/>
      <c r="X339" s="1"/>
      <c r="Y339" s="1"/>
      <c r="Z339" s="1"/>
      <c r="AA339" s="1"/>
      <c r="AB339" s="1"/>
      <c r="AC339" s="1"/>
      <c r="AD339" s="1"/>
      <c r="AE339" s="13"/>
    </row>
    <row r="340" spans="2:31" ht="16.5" customHeight="1">
      <c r="B340" s="103"/>
      <c r="C340" s="335"/>
      <c r="D340" s="465" t="str">
        <f>IF(OR(AB317=TRUE,AND(AB318=TRUE,AB322&gt;=0.5)),"- L'entreprise peut bénéficier d'une aide de 20 % du CA de référence, plafonnée à 200 000 €",IF(OR(AB314="OUI",AND(AB315="OUI",OR(AB310&gt;=0.8,AB311&gt;=0.8,AB312&gt;=0.1))),IF(AB322&gt;=0.7,"- L'entreprise peut bénéficier d'une aide de 20 % du CA de référence, plafonnée à 200 000 €",IF(AB322&gt;=0.5,"- L'entreprise peut bénéficier d'une aide de 15 % du CA de référence, plafonnée à 200 000 €","- L'entreprise n'a subi ni de fermeture administrative avec une perte de 20 % de CA au mois de Mars, ni de perte d'au moins 50 % de son CA")),IF(AND(AB316="OUI",OR(AB310&gt;=0.8,AB311&gt;=0.8,AB312&gt;=0.1),AB322&gt;=0.5),"- L'entreprise peut bénéficier d'une aide de 20 % du CA de référence, plafonnée à 200 000 €","- L'entreprise ne fait ni partie des fermetures administratives avec une perte de 20 % du CA au mois de Mars, ni des activités mentionnées en annexe 1 (S1) ou en annexe 2 (S1 bis) ou Annexe 3 ou dans un centre commercial ayant une perte significative")))</f>
        <v>- L'entreprise ne fait ni partie des fermetures administratives avec une perte de 20 % du CA au mois de Mars, ni des activités mentionnées en annexe 1 (S1) ou en annexe 2 (S1 bis) ou Annexe 3 ou dans un centre commercial ayant une perte significative</v>
      </c>
      <c r="E340" s="465"/>
      <c r="F340" s="465"/>
      <c r="G340" s="465"/>
      <c r="H340" s="465"/>
      <c r="I340" s="465"/>
      <c r="J340" s="465"/>
      <c r="K340" s="465"/>
      <c r="L340" s="465"/>
      <c r="M340" s="465"/>
      <c r="N340" s="465"/>
      <c r="O340" s="465"/>
      <c r="P340" s="328"/>
      <c r="Q340" s="328"/>
      <c r="T340" s="14"/>
      <c r="U340" s="1"/>
      <c r="V340" s="1"/>
      <c r="W340" s="1"/>
      <c r="X340" s="1"/>
      <c r="Y340" s="1"/>
      <c r="Z340" s="1"/>
      <c r="AA340" s="1"/>
      <c r="AB340" s="1"/>
      <c r="AC340" s="1"/>
      <c r="AD340" s="1"/>
      <c r="AE340" s="13"/>
    </row>
    <row r="341" spans="2:31" ht="16.5" customHeight="1">
      <c r="B341" s="169"/>
      <c r="C341" s="335"/>
      <c r="D341" s="465"/>
      <c r="E341" s="465"/>
      <c r="F341" s="465"/>
      <c r="G341" s="465"/>
      <c r="H341" s="465"/>
      <c r="I341" s="465"/>
      <c r="J341" s="465"/>
      <c r="K341" s="465"/>
      <c r="L341" s="465"/>
      <c r="M341" s="465"/>
      <c r="N341" s="465"/>
      <c r="O341" s="465"/>
      <c r="P341" s="328"/>
      <c r="Q341" s="328"/>
      <c r="T341" s="14"/>
      <c r="U341" s="1"/>
      <c r="V341" s="1"/>
      <c r="W341" s="1"/>
      <c r="X341" s="1"/>
      <c r="Y341" s="1"/>
      <c r="Z341" s="1"/>
      <c r="AA341" s="1"/>
      <c r="AB341" s="1"/>
      <c r="AC341" s="1"/>
      <c r="AD341" s="1"/>
      <c r="AE341" s="13"/>
    </row>
    <row r="342" spans="2:31" ht="16.5" customHeight="1" thickBot="1">
      <c r="B342" s="169"/>
      <c r="C342" s="335"/>
      <c r="D342" s="206"/>
      <c r="E342" s="328"/>
      <c r="F342" s="328"/>
      <c r="G342" s="328"/>
      <c r="H342" s="328"/>
      <c r="I342" s="328"/>
      <c r="J342" s="328"/>
      <c r="K342" s="328"/>
      <c r="L342" s="328"/>
      <c r="M342" s="328"/>
      <c r="N342" s="328"/>
      <c r="O342" s="328"/>
      <c r="P342" s="328"/>
      <c r="Q342" s="328"/>
      <c r="T342" s="14"/>
      <c r="U342" s="1"/>
      <c r="V342" s="1"/>
      <c r="W342" s="1"/>
      <c r="X342" s="1"/>
      <c r="Y342" s="1"/>
      <c r="Z342" s="1"/>
      <c r="AA342" s="1"/>
      <c r="AB342" s="1"/>
      <c r="AC342" s="1"/>
      <c r="AD342" s="1"/>
      <c r="AE342" s="13"/>
    </row>
    <row r="343" spans="2:31" ht="16.5" customHeight="1">
      <c r="B343" s="103"/>
      <c r="C343" s="181"/>
      <c r="D343" s="468" t="str">
        <f>IFERROR(IF(AB320="NON","Vous avez débuté votre activité après le 31 Décembre 2020, vous ne pouvez donc pas bénéficier de cette aide",IF(OR(AB317=TRUE,AND(AB318=TRUE,AB322&gt;=0.5)),IF(AB324=0,"Vous n'avez pas indiqué de chiffre d'affaires de référence",IF(AB321&lt;AB324*0.2,"Dans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Mars"))),IF(OR(AB314="OUI",AND(AB315="OUI",OR(AB310&gt;=0.8,AB311&gt;=0.8,AB312&gt;=0.1))),IF(AB322&gt;=0.7,IF(AB321&lt;AB324*0.2,"Dans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Mars")),IF(AB322&gt;=0.5,IF(AB321&lt;AB324*0.15,"Dans votre cas, la perte est inférieure à 15 % du CA, l'aide est donc plafonnée à la perte, soit "&amp;ROUND(AB321,0)&amp;" € pour le mois de Mars",IF(AB324*0.15&gt;=200000,"Dans votre cas, l'aide est plafonnée, à "&amp;Annexes!O8&amp;" € pour le mois de Mars","Vous pouvez bénéficier, au titre de cette aide, d'un montant de "&amp;ROUND(AB324*0.15,0)&amp;" € pour le mois de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au mois de Mars, ni des activités mentionnées en annexe 1 (S1) avec 50 % de perte en Mars ou en annexe 2 (S1 bis) ou 3 ou dans un centre commercial avec 70 % de Perte en Mars"))),IF(AND(AB316="OUI",OR(AB310&gt;=0.8,AB311&gt;=0.8,AB312&gt;=0.1),AB322&gt;=0.7),IF(AB321&lt;AB324*0.2,"Dans votre cas, la perte est inférieure à 20 % du CA, l'aide est donc plafonnée à la perte, soit "&amp;ROUND(AB321,0)&amp;" € pour le mois de Mars",IF(AB324*0.2&gt;=200000,"Dans votre cas, l'aide est plafonnée, à "&amp;Annexes!O8&amp;" € pour le mois de Mars","Vous pouvez bénéficier, au titre de cette aide, d'un montant de "&amp;ROUND(AB324*0.2,0)&amp;" € pour le mois de Mars")),"L'entreprise ne fait ni partie des fermetures administratives avec 20 % de perte au mois de Mars, ni des activités mentionnées en annexe 1 (S1)"&amp;" ou en annexe 2 (S1 bis) avec 50 % de perte en Mars ou 3 ou dans un centre commercial avec 70 % de Perte en Mars")))),"Vous n'avez pas indiqué de chiffre d'affaires de référence")</f>
        <v>L'entreprise ne fait ni partie des fermetures administratives avec 20 % de perte au mois de Mars, ni des activités mentionnées en annexe 1 (S1) ou en annexe 2 (S1 bis) avec 50 % de perte en Mars ou 3 ou dans un centre commercial avec 70 % de Perte en Mars</v>
      </c>
      <c r="E343" s="451"/>
      <c r="F343" s="451"/>
      <c r="G343" s="451"/>
      <c r="H343" s="451"/>
      <c r="I343" s="451"/>
      <c r="J343" s="451"/>
      <c r="K343" s="451"/>
      <c r="L343" s="451"/>
      <c r="M343" s="451"/>
      <c r="N343" s="451"/>
      <c r="O343" s="452"/>
      <c r="P343" s="328"/>
      <c r="Q343" s="328"/>
      <c r="T343" s="14"/>
      <c r="U343" s="1"/>
      <c r="V343" s="1"/>
      <c r="W343" s="1"/>
      <c r="X343" s="1"/>
      <c r="Y343" s="1"/>
      <c r="Z343" s="1"/>
      <c r="AA343" s="1"/>
      <c r="AB343" s="1"/>
      <c r="AC343" s="1"/>
      <c r="AD343" s="1"/>
      <c r="AE343" s="13"/>
    </row>
    <row r="344" spans="2:31" ht="16.5" customHeight="1">
      <c r="B344" s="103"/>
      <c r="C344" s="181"/>
      <c r="D344" s="453"/>
      <c r="E344" s="454"/>
      <c r="F344" s="454"/>
      <c r="G344" s="454"/>
      <c r="H344" s="454"/>
      <c r="I344" s="454"/>
      <c r="J344" s="454"/>
      <c r="K344" s="454"/>
      <c r="L344" s="454"/>
      <c r="M344" s="454"/>
      <c r="N344" s="454"/>
      <c r="O344" s="455"/>
      <c r="P344" s="328"/>
      <c r="Q344" s="328"/>
      <c r="T344" s="14"/>
      <c r="U344" s="1"/>
      <c r="V344" s="1"/>
      <c r="W344" s="1"/>
      <c r="X344" s="1"/>
      <c r="Y344" s="1"/>
      <c r="Z344" s="1"/>
      <c r="AA344" s="1"/>
      <c r="AB344" s="1"/>
      <c r="AC344" s="1"/>
      <c r="AD344" s="1"/>
      <c r="AE344" s="13"/>
    </row>
    <row r="345" spans="2:31" ht="16.5" customHeight="1">
      <c r="B345" s="103"/>
      <c r="C345" s="181"/>
      <c r="D345" s="453"/>
      <c r="E345" s="454"/>
      <c r="F345" s="454"/>
      <c r="G345" s="454"/>
      <c r="H345" s="454"/>
      <c r="I345" s="454"/>
      <c r="J345" s="454"/>
      <c r="K345" s="454"/>
      <c r="L345" s="454"/>
      <c r="M345" s="454"/>
      <c r="N345" s="454"/>
      <c r="O345" s="455"/>
      <c r="P345" s="176"/>
      <c r="Q345" s="176"/>
      <c r="T345" s="14"/>
      <c r="U345" s="1"/>
      <c r="V345" s="1"/>
      <c r="W345" s="1"/>
      <c r="X345" s="1"/>
      <c r="Y345" s="1"/>
      <c r="Z345" s="1"/>
      <c r="AA345" s="1"/>
      <c r="AB345" s="1"/>
      <c r="AC345" s="1"/>
      <c r="AD345" s="1"/>
      <c r="AE345" s="13"/>
    </row>
    <row r="346" spans="2:31" ht="16.5" customHeight="1" thickBot="1">
      <c r="B346" s="103"/>
      <c r="C346" s="181"/>
      <c r="D346" s="456"/>
      <c r="E346" s="457"/>
      <c r="F346" s="457"/>
      <c r="G346" s="457"/>
      <c r="H346" s="457"/>
      <c r="I346" s="457"/>
      <c r="J346" s="457"/>
      <c r="K346" s="457"/>
      <c r="L346" s="457"/>
      <c r="M346" s="457"/>
      <c r="N346" s="457"/>
      <c r="O346" s="458"/>
      <c r="T346" s="14"/>
      <c r="U346" s="1"/>
      <c r="V346" s="1"/>
      <c r="W346" s="1"/>
      <c r="X346" s="1"/>
      <c r="Y346" s="1"/>
      <c r="Z346" s="1"/>
      <c r="AA346" s="1"/>
      <c r="AB346" s="1"/>
      <c r="AC346" s="1"/>
      <c r="AD346" s="1"/>
      <c r="AE346" s="13"/>
    </row>
    <row r="347" spans="2:31" ht="16.5" customHeight="1">
      <c r="B347" s="103"/>
      <c r="C347" s="324"/>
      <c r="D347" s="331"/>
      <c r="E347" s="331"/>
      <c r="F347" s="331"/>
      <c r="G347" s="331"/>
      <c r="H347" s="331"/>
      <c r="I347" s="331"/>
      <c r="J347" s="331"/>
      <c r="K347" s="331"/>
      <c r="L347" s="331"/>
      <c r="M347" s="331"/>
      <c r="N347" s="331"/>
      <c r="O347" s="331"/>
      <c r="T347" s="14"/>
      <c r="U347" s="1"/>
      <c r="V347" s="1"/>
      <c r="W347" s="1"/>
      <c r="X347" s="1"/>
      <c r="Y347" s="1"/>
      <c r="Z347" s="1"/>
      <c r="AA347" s="1"/>
      <c r="AB347" s="1"/>
      <c r="AC347" s="1"/>
      <c r="AD347" s="1"/>
      <c r="AE347" s="13"/>
    </row>
    <row r="348" spans="2:31" ht="16.5" customHeight="1">
      <c r="B348" s="103"/>
      <c r="C348" s="324"/>
      <c r="D348" s="331"/>
      <c r="E348" s="331"/>
      <c r="F348" s="331"/>
      <c r="G348" s="331"/>
      <c r="H348" s="331"/>
      <c r="I348" s="331"/>
      <c r="J348" s="331"/>
      <c r="K348" s="331"/>
      <c r="L348" s="331"/>
      <c r="M348" s="331"/>
      <c r="N348" s="331"/>
      <c r="O348" s="331"/>
      <c r="T348" s="14"/>
      <c r="U348" s="1"/>
      <c r="V348" s="1"/>
      <c r="W348" s="1"/>
      <c r="X348" s="1"/>
      <c r="Y348" s="1"/>
      <c r="Z348" s="1"/>
      <c r="AA348" s="1"/>
      <c r="AB348" s="1"/>
      <c r="AC348" s="1"/>
      <c r="AD348" s="1"/>
      <c r="AE348" s="13"/>
    </row>
    <row r="349" spans="2:31" ht="16.5" customHeight="1">
      <c r="B349" s="5"/>
      <c r="C349" s="5"/>
      <c r="D349" s="340"/>
      <c r="E349" s="340"/>
      <c r="F349" s="340"/>
      <c r="G349" s="340"/>
      <c r="H349" s="340"/>
      <c r="I349" s="340"/>
      <c r="J349" s="340"/>
      <c r="K349" s="340"/>
      <c r="L349" s="340"/>
      <c r="M349" s="340"/>
      <c r="N349" s="340"/>
      <c r="O349" s="340"/>
      <c r="P349" s="178"/>
      <c r="Q349" s="178"/>
      <c r="T349" s="14"/>
      <c r="U349" s="1"/>
      <c r="V349" s="1"/>
      <c r="W349" s="1"/>
      <c r="X349" s="1"/>
      <c r="Y349" s="1"/>
      <c r="Z349" s="1"/>
      <c r="AA349" s="1"/>
      <c r="AB349" s="1"/>
      <c r="AC349" s="1"/>
      <c r="AD349" s="1"/>
      <c r="AE349" s="13"/>
    </row>
    <row r="350" spans="2:31" ht="16.5" thickBot="1">
      <c r="B350" s="221"/>
      <c r="C350" s="433" t="s">
        <v>435</v>
      </c>
      <c r="D350" s="433"/>
      <c r="E350" s="433"/>
      <c r="F350" s="433"/>
      <c r="G350" s="433"/>
      <c r="H350" s="433"/>
      <c r="I350" s="222"/>
      <c r="J350" s="222"/>
      <c r="K350" s="222"/>
      <c r="L350" s="222"/>
      <c r="M350" s="222"/>
      <c r="N350" s="222"/>
      <c r="O350" s="222"/>
      <c r="T350" s="16"/>
      <c r="U350" s="11"/>
      <c r="V350" s="11"/>
      <c r="W350" s="11"/>
      <c r="X350" s="11"/>
      <c r="Y350" s="11"/>
      <c r="Z350" s="11"/>
      <c r="AA350" s="11"/>
      <c r="AB350" s="11"/>
      <c r="AC350" s="11"/>
      <c r="AD350" s="11"/>
      <c r="AE350" s="12"/>
    </row>
    <row r="351" spans="2:31" ht="15" customHeight="1">
      <c r="B351" s="63"/>
      <c r="C351" s="24"/>
      <c r="D351" s="24"/>
      <c r="E351" s="24"/>
      <c r="F351" s="24"/>
      <c r="G351" s="24"/>
      <c r="H351" s="63"/>
      <c r="I351" s="1"/>
      <c r="J351" s="1"/>
      <c r="K351" s="1"/>
      <c r="L351" s="1"/>
      <c r="M351" s="1"/>
      <c r="N351" s="1"/>
      <c r="O351" s="1"/>
      <c r="T351" s="14"/>
      <c r="U351" s="1"/>
      <c r="V351" s="1"/>
      <c r="W351" s="1"/>
      <c r="X351" s="1"/>
      <c r="Y351" s="1"/>
      <c r="Z351" s="1"/>
      <c r="AA351" s="1"/>
      <c r="AB351" s="1"/>
      <c r="AC351" s="1"/>
      <c r="AD351" s="1"/>
      <c r="AE351" s="13"/>
    </row>
    <row r="352" spans="2:31" ht="15" customHeight="1">
      <c r="B352" s="103"/>
      <c r="C352" s="434" t="s">
        <v>442</v>
      </c>
      <c r="D352" s="434"/>
      <c r="E352" s="434"/>
      <c r="F352" s="434"/>
      <c r="G352" s="434"/>
      <c r="H352" s="434"/>
      <c r="I352" s="434"/>
      <c r="J352" s="434"/>
      <c r="K352" s="434"/>
      <c r="L352" s="434"/>
      <c r="M352" s="434"/>
      <c r="N352" s="434"/>
      <c r="O352" s="434"/>
      <c r="P352" s="1"/>
      <c r="T352" s="25"/>
      <c r="U352" s="435" t="s">
        <v>20</v>
      </c>
      <c r="V352" s="435"/>
      <c r="W352" s="435"/>
      <c r="X352" s="1"/>
      <c r="Y352" s="338" t="s">
        <v>6</v>
      </c>
      <c r="Z352" s="338"/>
      <c r="AA352" s="338"/>
      <c r="AB352" s="338" t="s">
        <v>23</v>
      </c>
      <c r="AC352" s="338"/>
      <c r="AD352" s="338"/>
      <c r="AE352" s="26" t="s">
        <v>24</v>
      </c>
    </row>
    <row r="353" spans="2:31" ht="15.75" customHeight="1">
      <c r="B353" s="103"/>
      <c r="C353" s="335"/>
      <c r="D353" s="60" t="s">
        <v>436</v>
      </c>
      <c r="E353" s="335"/>
      <c r="F353" s="335"/>
      <c r="G353" s="335"/>
      <c r="H353" s="335"/>
      <c r="I353" s="335"/>
      <c r="J353" s="335"/>
      <c r="K353" s="335"/>
      <c r="L353" s="335"/>
      <c r="M353" s="335"/>
      <c r="N353" s="335"/>
      <c r="O353" s="335"/>
      <c r="P353" s="1"/>
      <c r="T353" s="25"/>
      <c r="U353" s="338"/>
      <c r="V353" s="338"/>
      <c r="W353" s="338"/>
      <c r="X353" s="1"/>
      <c r="Y353" s="338"/>
      <c r="Z353" s="338"/>
      <c r="AA353" s="338"/>
      <c r="AB353" s="338"/>
      <c r="AC353" s="338"/>
      <c r="AD353" s="338"/>
      <c r="AE353" s="26"/>
    </row>
    <row r="354" spans="2:31" ht="16.5" hidden="1" thickBot="1">
      <c r="B354" s="103"/>
      <c r="C354" s="335"/>
      <c r="D354" s="60"/>
      <c r="E354" s="335"/>
      <c r="F354" s="335"/>
      <c r="G354" s="335"/>
      <c r="H354" s="335"/>
      <c r="I354" s="335"/>
      <c r="J354" s="335"/>
      <c r="K354" s="335"/>
      <c r="L354" s="335"/>
      <c r="M354" s="335"/>
      <c r="N354" s="335"/>
      <c r="O354" s="335"/>
      <c r="P354" s="1"/>
      <c r="T354" s="436" t="s">
        <v>445</v>
      </c>
      <c r="U354" s="435"/>
      <c r="V354" s="435"/>
      <c r="W354" s="435"/>
      <c r="X354" s="1"/>
      <c r="Y354" s="7">
        <f>'Mon Entreprise'!I103</f>
        <v>0</v>
      </c>
      <c r="Z354" s="133"/>
      <c r="AA354" s="21"/>
      <c r="AB354" s="7">
        <f>IF('Mon Entreprise'!I103-'Mon Entreprise'!M103&lt;0,0,'Mon Entreprise'!I103-'Mon Entreprise'!M103)</f>
        <v>0</v>
      </c>
      <c r="AC354" s="13"/>
      <c r="AD354" s="1"/>
      <c r="AE354" s="27">
        <f>IFERROR(1-'Mon Entreprise'!M103/'Mon Entreprise'!I103,0)</f>
        <v>0</v>
      </c>
    </row>
    <row r="355" spans="2:31" ht="15.75" hidden="1">
      <c r="B355" s="103"/>
      <c r="C355" s="335"/>
      <c r="D355" s="437" t="str">
        <f>IFERROR(IF(AND(AB398=0,AB399=0,AB400=0),"Vous ne pouvez pas bénéficier du fonds de solidarité pour le mois d'Avril 2021",IF(AND(AB400&gt;AB399,AB400&gt;AB398),"Votre entreprise peut bénéficier d'une aide de "&amp;AB400&amp;" €, au titre d'une fermeture Administrative avec une perte de 20 % de CA, ou d'une perte d'au moins 50 % ou 70 % du CA pour les activités mentionnées en annexe 1,"&amp;" ou d'une perte d'au moins 70 % du CA pour les activités mentionnées en annexe 2 ou 3 ou dans un centre commercial, ou domicilié dans certaines îles d'outre-mer",IF(AB399&gt;AB398,"Votre entreprise peut bénéficier d'une aide de "&amp;AB399&amp;" €, au titre d'une fermeture Administrative avec une perte de 20 % du CA, ou d'une perte d'au moins 50 % du CA pour les activités mentionnées en annexe 1,"&amp;" ou en annexe 2 ou 3 ou dans un centre commercial, ou domicilié dans certaines îles d'outre-mer, ayant une perte de CA d'au moins 80 % entre le 15/03/2020 et le 15/05/2020, au mois de Novembre 2020 ou 10 % de perte entre 2019 et 2020","Votre entreprise peut bénéficier d'une aide de "&amp;AB398&amp;" €, au titre d'une perte d'au-moins 50 % de votre CA en Avril 2021"))),"Vous n'avez pas indiqué de chiffre d'affaires de référence")</f>
        <v>Vous ne pouvez pas bénéficier du fonds de solidarité pour le mois d'Avril 2021</v>
      </c>
      <c r="E355" s="438"/>
      <c r="F355" s="438"/>
      <c r="G355" s="438"/>
      <c r="H355" s="438"/>
      <c r="I355" s="438"/>
      <c r="J355" s="438"/>
      <c r="K355" s="438"/>
      <c r="L355" s="438"/>
      <c r="M355" s="438"/>
      <c r="N355" s="438"/>
      <c r="O355" s="439"/>
      <c r="P355" s="1"/>
      <c r="T355" s="436" t="s">
        <v>25</v>
      </c>
      <c r="U355" s="435"/>
      <c r="V355" s="435"/>
      <c r="W355" s="435"/>
      <c r="X355" s="1"/>
      <c r="Y355" s="7">
        <f>'Mon Entreprise'!I73</f>
        <v>0</v>
      </c>
      <c r="Z355" s="133"/>
      <c r="AA355" s="21"/>
      <c r="AB355" s="7">
        <f>IF('Mon Entreprise'!I73-'Mon Entreprise'!M103&lt;0,0,'Mon Entreprise'!I73-'Mon Entreprise'!M103)</f>
        <v>0</v>
      </c>
      <c r="AC355" s="36"/>
      <c r="AD355" s="1"/>
      <c r="AE355" s="27">
        <f>IFERROR(1-'Mon Entreprise'!M103/'Mon Entreprise'!I73,0)</f>
        <v>0</v>
      </c>
    </row>
    <row r="356" spans="2:31" ht="15.75" hidden="1" customHeight="1">
      <c r="B356" s="103"/>
      <c r="C356" s="335"/>
      <c r="D356" s="440"/>
      <c r="E356" s="441"/>
      <c r="F356" s="441"/>
      <c r="G356" s="441"/>
      <c r="H356" s="441"/>
      <c r="I356" s="441"/>
      <c r="J356" s="441"/>
      <c r="K356" s="441"/>
      <c r="L356" s="441"/>
      <c r="M356" s="441"/>
      <c r="N356" s="441"/>
      <c r="O356" s="442"/>
      <c r="P356" s="1"/>
      <c r="T356" s="446" t="s">
        <v>22</v>
      </c>
      <c r="U356" s="447"/>
      <c r="V356" s="447"/>
      <c r="W356" s="447"/>
      <c r="X356" s="139"/>
      <c r="Y356" s="140" t="str">
        <f>IF('Mon Entreprise'!I110="","NC",'Mon Entreprise'!I110)</f>
        <v>NC</v>
      </c>
      <c r="Z356" s="192"/>
      <c r="AA356" s="193"/>
      <c r="AB356" s="143">
        <f>IFERROR(IF('Mon Entreprise'!I110-'Mon Entreprise'!M103&lt;0,0,'Mon Entreprise'!I110-'Mon Entreprise'!M103),"NC")</f>
        <v>0</v>
      </c>
      <c r="AC356" s="194"/>
      <c r="AD356" s="139"/>
      <c r="AE356" s="146" t="str">
        <f>IFERROR(1-'Mon Entreprise'!M103/'Mon Entreprise'!I110,"NC")</f>
        <v>NC</v>
      </c>
    </row>
    <row r="357" spans="2:31" ht="15.75" hidden="1" customHeight="1">
      <c r="B357" s="103"/>
      <c r="C357" s="335"/>
      <c r="D357" s="440"/>
      <c r="E357" s="441"/>
      <c r="F357" s="441"/>
      <c r="G357" s="441"/>
      <c r="H357" s="441"/>
      <c r="I357" s="441"/>
      <c r="J357" s="441"/>
      <c r="K357" s="441"/>
      <c r="L357" s="441"/>
      <c r="M357" s="441"/>
      <c r="N357" s="441"/>
      <c r="O357" s="442"/>
      <c r="P357" s="1"/>
      <c r="T357" s="336"/>
      <c r="U357" s="332"/>
      <c r="V357" s="332"/>
      <c r="W357" s="332"/>
      <c r="X357" s="139"/>
      <c r="Y357" s="140"/>
      <c r="Z357" s="141"/>
      <c r="AA357" s="193"/>
      <c r="AB357" s="143"/>
      <c r="AC357" s="332"/>
      <c r="AD357" s="139"/>
      <c r="AE357" s="146"/>
    </row>
    <row r="358" spans="2:31" ht="15.75" hidden="1" customHeight="1">
      <c r="B358" s="103"/>
      <c r="C358" s="335"/>
      <c r="D358" s="440"/>
      <c r="E358" s="441"/>
      <c r="F358" s="441"/>
      <c r="G358" s="441"/>
      <c r="H358" s="441"/>
      <c r="I358" s="441"/>
      <c r="J358" s="441"/>
      <c r="K358" s="441"/>
      <c r="L358" s="441"/>
      <c r="M358" s="441"/>
      <c r="N358" s="441"/>
      <c r="O358" s="442"/>
      <c r="P358" s="1"/>
      <c r="T358" s="14"/>
      <c r="U358" s="1"/>
      <c r="V358" s="1"/>
      <c r="W358" s="1"/>
      <c r="X358" s="1"/>
      <c r="Y358" s="1"/>
      <c r="Z358" s="1"/>
      <c r="AA358" s="1"/>
      <c r="AB358" s="1"/>
      <c r="AC358" s="1"/>
      <c r="AD358" s="1"/>
      <c r="AE358" s="13"/>
    </row>
    <row r="359" spans="2:31" ht="15.75" hidden="1" customHeight="1">
      <c r="B359" s="103"/>
      <c r="C359" s="335"/>
      <c r="D359" s="440"/>
      <c r="E359" s="441"/>
      <c r="F359" s="441"/>
      <c r="G359" s="441"/>
      <c r="H359" s="441"/>
      <c r="I359" s="441"/>
      <c r="J359" s="441"/>
      <c r="K359" s="441"/>
      <c r="L359" s="441"/>
      <c r="M359" s="441"/>
      <c r="N359" s="441"/>
      <c r="O359" s="442"/>
      <c r="P359" s="1"/>
      <c r="T359" s="14"/>
      <c r="AC359" s="1"/>
      <c r="AD359" s="1"/>
      <c r="AE359" s="13"/>
    </row>
    <row r="360" spans="2:31" ht="15.75" hidden="1" customHeight="1" thickBot="1">
      <c r="B360" s="103"/>
      <c r="C360" s="335"/>
      <c r="D360" s="443"/>
      <c r="E360" s="444"/>
      <c r="F360" s="444"/>
      <c r="G360" s="444"/>
      <c r="H360" s="444"/>
      <c r="I360" s="444"/>
      <c r="J360" s="444"/>
      <c r="K360" s="444"/>
      <c r="L360" s="444"/>
      <c r="M360" s="444"/>
      <c r="N360" s="444"/>
      <c r="O360" s="445"/>
      <c r="P360" s="1"/>
      <c r="T360" s="14"/>
      <c r="AC360" s="1"/>
      <c r="AD360" s="1"/>
      <c r="AE360" s="13"/>
    </row>
    <row r="361" spans="2:31" ht="16.5" hidden="1" customHeight="1">
      <c r="B361" s="103"/>
      <c r="C361" s="335"/>
      <c r="D361" s="344" t="s">
        <v>444</v>
      </c>
      <c r="E361" s="335"/>
      <c r="F361" s="335"/>
      <c r="G361" s="335"/>
      <c r="H361" s="335"/>
      <c r="I361" s="335"/>
      <c r="J361" s="335"/>
      <c r="K361" s="335"/>
      <c r="L361" s="335"/>
      <c r="M361" s="335"/>
      <c r="N361" s="335"/>
      <c r="O361" s="335"/>
      <c r="P361" s="1"/>
      <c r="T361" s="14"/>
      <c r="AC361" s="1"/>
      <c r="AD361" s="1"/>
      <c r="AE361" s="13"/>
    </row>
    <row r="362" spans="2:31" ht="15.75">
      <c r="B362" s="103"/>
      <c r="C362" s="78"/>
      <c r="D362" s="78"/>
      <c r="E362" s="78"/>
      <c r="F362" s="78"/>
      <c r="G362" s="78"/>
      <c r="H362" s="78"/>
      <c r="I362" s="78"/>
      <c r="J362" s="78"/>
      <c r="K362" s="78"/>
      <c r="L362" s="78"/>
      <c r="M362" s="78"/>
      <c r="N362" s="78"/>
      <c r="O362" s="78"/>
      <c r="P362" s="1"/>
      <c r="T362" s="14"/>
      <c r="U362" s="1"/>
      <c r="V362" s="1"/>
      <c r="W362" s="1"/>
      <c r="X362" s="1"/>
      <c r="Y362" s="1"/>
      <c r="Z362" s="1"/>
      <c r="AA362" s="1"/>
      <c r="AB362" s="1"/>
      <c r="AC362" s="1"/>
      <c r="AD362" s="1"/>
      <c r="AE362" s="13"/>
    </row>
    <row r="363" spans="2:31" ht="15.75">
      <c r="B363" s="103"/>
      <c r="C363" s="335"/>
      <c r="D363" s="60"/>
      <c r="E363" s="335"/>
      <c r="F363" s="335"/>
      <c r="G363" s="335"/>
      <c r="H363" s="335"/>
      <c r="I363" s="335"/>
      <c r="J363" s="335"/>
      <c r="K363" s="335"/>
      <c r="L363" s="335"/>
      <c r="M363" s="335"/>
      <c r="N363" s="335"/>
      <c r="O363" s="335"/>
      <c r="P363" s="1"/>
      <c r="T363" s="14"/>
      <c r="U363" s="1"/>
      <c r="V363" s="1"/>
      <c r="W363" s="1"/>
      <c r="X363" s="1"/>
      <c r="Y363" s="1"/>
      <c r="Z363" s="1"/>
      <c r="AA363" s="1"/>
      <c r="AB363" s="1"/>
      <c r="AC363" s="1"/>
      <c r="AD363" s="1"/>
      <c r="AE363" s="13"/>
    </row>
    <row r="364" spans="2:31" ht="15.75">
      <c r="B364" s="103"/>
      <c r="C364" s="335" t="s">
        <v>443</v>
      </c>
      <c r="D364" s="60"/>
      <c r="E364" s="335"/>
      <c r="F364" s="335"/>
      <c r="G364" s="335"/>
      <c r="H364" s="335"/>
      <c r="I364" s="335"/>
      <c r="J364" s="335"/>
      <c r="K364" s="335"/>
      <c r="L364" s="335"/>
      <c r="M364" s="335"/>
      <c r="N364" s="335"/>
      <c r="O364" s="335"/>
      <c r="P364" s="1"/>
      <c r="T364" s="14"/>
      <c r="U364" s="1"/>
      <c r="V364" s="1"/>
      <c r="W364" s="1"/>
      <c r="X364" s="1"/>
      <c r="Y364" s="1"/>
      <c r="Z364" s="1"/>
      <c r="AA364" s="1"/>
      <c r="AB364" s="1"/>
      <c r="AC364" s="1"/>
      <c r="AD364" s="1"/>
      <c r="AE364" s="13"/>
    </row>
    <row r="365" spans="2:31" ht="15.75">
      <c r="B365" s="103"/>
      <c r="C365" s="326" t="s">
        <v>437</v>
      </c>
      <c r="D365" s="60"/>
      <c r="E365" s="335"/>
      <c r="F365" s="335"/>
      <c r="G365" s="335"/>
      <c r="H365" s="335"/>
      <c r="I365" s="335"/>
      <c r="J365" s="335"/>
      <c r="K365" s="335"/>
      <c r="L365" s="335"/>
      <c r="M365" s="335"/>
      <c r="N365" s="335"/>
      <c r="O365" s="335"/>
      <c r="P365" s="1"/>
      <c r="T365" s="14"/>
      <c r="U365" s="448" t="s">
        <v>72</v>
      </c>
      <c r="V365" s="448"/>
      <c r="W365" s="448"/>
      <c r="X365" s="448"/>
      <c r="Y365" s="448"/>
      <c r="Z365" s="1"/>
      <c r="AA365" s="14"/>
      <c r="AB365" s="332" t="str">
        <f>IF('Mon Entreprise'!K8&lt;=Annexes!R15,"Oui","Non")</f>
        <v>Oui</v>
      </c>
      <c r="AC365" s="1"/>
      <c r="AD365" s="1"/>
      <c r="AE365" s="13"/>
    </row>
    <row r="366" spans="2:31" ht="15.75">
      <c r="B366" s="169"/>
      <c r="C366" s="335"/>
      <c r="D366" s="60" t="str">
        <f>IFERROR(IF('Mon Entreprise'!K8&gt;=Annexes!O20,IF(AB354&gt;=AB356,"Le CA de référence est celui d'Avril 2019, soit une perte de "&amp;ROUND(AB354,0)&amp;" €"&amp;" ==&gt; "&amp;ROUND(AE354*100,0)&amp;" %","Le CA de référence est celui de la création, soit une perte de "&amp;ROUND(AB356,0)&amp;" €"&amp;" ==&gt; "&amp;ROUND(AE356*100,0)&amp;" %"),IF(AB354&gt;=AB355,"Le CA de référence est celui d'Avril 2019, soit une perte de "&amp;ROUND(AB354,0)&amp;" €"&amp;" ==&gt; "&amp;ROUND(AE354*100,0)&amp;" %","Le CA de référence est celui de l'exercice 2019, soit une perte de "&amp;ROUND(AB355,0)&amp;" €"&amp;" ==&gt; "&amp;ROUND(AE355*100,0)&amp;" %")),"")</f>
        <v>Le CA de référence est celui d'Avril 2019, soit une perte de 0 € ==&gt; 0 %</v>
      </c>
      <c r="E366" s="335"/>
      <c r="F366" s="335"/>
      <c r="G366" s="335"/>
      <c r="H366" s="335"/>
      <c r="I366" s="335"/>
      <c r="J366" s="335"/>
      <c r="K366" s="335"/>
      <c r="L366" s="335"/>
      <c r="M366" s="335"/>
      <c r="N366" s="335"/>
      <c r="O366" s="335"/>
      <c r="P366" s="1"/>
      <c r="T366" s="14"/>
      <c r="U366" s="330"/>
      <c r="V366" s="448" t="s">
        <v>393</v>
      </c>
      <c r="W366" s="448"/>
      <c r="X366" s="448"/>
      <c r="Y366" s="448"/>
      <c r="Z366" s="1"/>
      <c r="AA366" s="14"/>
      <c r="AB366" s="332">
        <f>IF('Mon Entreprise'!K8&gt;=Annexes!O20,IF(Y354&gt;=Y356,Y354,Y356),IF(Y354&gt;=Y355,Y354,Y355))</f>
        <v>0</v>
      </c>
      <c r="AC366" s="1"/>
      <c r="AD366" s="1"/>
      <c r="AE366" s="13"/>
    </row>
    <row r="367" spans="2:31" ht="15.75">
      <c r="B367" s="169"/>
      <c r="C367" s="335"/>
      <c r="D367" s="449" t="str">
        <f>IFERROR(IF('Mon Entreprise'!K8&gt;=Annexes!O20,"",IF(AB354&lt;AB355,"A noter qu'il convient de choisir l'option retenue par l'entreprise lors de sa demande au titre du mois Février 2021, ou a défaut celui du mois de Mars 2021, si le CA de référence était celui de février 2019, il convient de prendre"&amp;" celui d'Avril 2019 (...), soit "&amp;ROUND(AB354,0)&amp;" €"&amp;" ==&gt; "&amp;ROUND(AE354*100,0)&amp;" %","A noter qu'il convient de choisir l'option retenue par l'entreprise lors de sa demande au titre du mois Février 2021, ou "&amp;"a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67" s="449"/>
      <c r="F367" s="449"/>
      <c r="G367" s="449"/>
      <c r="H367" s="449"/>
      <c r="I367" s="449"/>
      <c r="J367" s="449"/>
      <c r="K367" s="449"/>
      <c r="L367" s="449"/>
      <c r="M367" s="449"/>
      <c r="N367" s="449"/>
      <c r="O367" s="449"/>
      <c r="P367" s="1"/>
      <c r="T367" s="14"/>
      <c r="U367" s="448" t="s">
        <v>84</v>
      </c>
      <c r="V367" s="448"/>
      <c r="W367" s="448"/>
      <c r="X367" s="448"/>
      <c r="Y367" s="448"/>
      <c r="Z367" s="1"/>
      <c r="AA367" s="14"/>
      <c r="AB367" s="333">
        <f>IF('Mon Entreprise'!K8&gt;=Annexes!O20,IF(AB354&gt;=AB356,AB354,AB356),IF(AB354&gt;=AB355,AB354,AB355))</f>
        <v>0</v>
      </c>
      <c r="AC367" s="1"/>
      <c r="AD367" s="1"/>
      <c r="AE367" s="13"/>
    </row>
    <row r="368" spans="2:31" ht="15.75">
      <c r="B368" s="169"/>
      <c r="C368" s="335"/>
      <c r="D368" s="449"/>
      <c r="E368" s="449"/>
      <c r="F368" s="449"/>
      <c r="G368" s="449"/>
      <c r="H368" s="449"/>
      <c r="I368" s="449"/>
      <c r="J368" s="449"/>
      <c r="K368" s="449"/>
      <c r="L368" s="449"/>
      <c r="M368" s="449"/>
      <c r="N368" s="449"/>
      <c r="O368" s="449"/>
      <c r="P368" s="1"/>
      <c r="T368" s="14"/>
      <c r="U368" s="448" t="s">
        <v>85</v>
      </c>
      <c r="V368" s="448"/>
      <c r="W368" s="448"/>
      <c r="X368" s="448"/>
      <c r="Y368" s="448"/>
      <c r="Z368" s="1"/>
      <c r="AA368" s="14"/>
      <c r="AB368" s="19">
        <f>IF('Mon Entreprise'!K8&gt;=Annexes!O20,IF(AB354&gt;=AB356,AE354,AE356),IF(AB354&gt;=AB355,AE354,AE355))</f>
        <v>0</v>
      </c>
      <c r="AC368" s="1"/>
      <c r="AD368" s="1"/>
      <c r="AE368" s="13"/>
    </row>
    <row r="369" spans="1:31" ht="16.5" thickBot="1">
      <c r="B369" s="103"/>
      <c r="C369" s="335"/>
      <c r="D369" s="60"/>
      <c r="E369" s="335"/>
      <c r="F369" s="335"/>
      <c r="G369" s="335"/>
      <c r="H369" s="335"/>
      <c r="I369" s="335"/>
      <c r="J369" s="335"/>
      <c r="K369" s="335"/>
      <c r="L369" s="335"/>
      <c r="M369" s="335"/>
      <c r="N369" s="335"/>
      <c r="O369" s="335"/>
      <c r="P369" s="1"/>
      <c r="T369" s="14"/>
      <c r="U369" s="1"/>
      <c r="V369" s="1"/>
      <c r="W369" s="1"/>
      <c r="X369" s="1"/>
      <c r="Y369" s="1"/>
      <c r="Z369" s="1"/>
      <c r="AA369" s="1"/>
      <c r="AB369" s="1"/>
      <c r="AC369" s="1"/>
      <c r="AD369" s="1"/>
      <c r="AE369" s="13"/>
    </row>
    <row r="370" spans="1:31" ht="15.75">
      <c r="B370" s="169"/>
      <c r="C370" s="335"/>
      <c r="D370" s="450" t="str">
        <f>IFERROR(IF(AB365="Non","Vous avez débuté votre activité après le 31 Janvier 2020, vous ne pouvez donc pas bénéficier de cette aide",IF(OR(AB381=TRUE,AND(AB368&lt;0.5,AB382=TRUE),(AB368&gt;=0.5)),IF(AB367&gt;Annexes!O5,"Dans votre cas, l'aide est Plafonnée, à "&amp;Annexes!O5&amp;" € pour le mois d'Avril","Vous pouvez bénéficier, au titre de cette aide, d'un montant de "&amp;ROUND(AB367,0)&amp;" € pour le mois d'Avril"),"L'entreprise n'a pas une perte d'au moins 50 % en Avril 2021 ou n'a pas été en fermeture Administrative")),"Vous n'avez pas indiqué de chiffre d'affaires de référence")</f>
        <v>L'entreprise n'a pas une perte d'au moins 50 % en Avril 2021 ou n'a pas été en fermeture Administrative</v>
      </c>
      <c r="E370" s="451"/>
      <c r="F370" s="451"/>
      <c r="G370" s="451"/>
      <c r="H370" s="451"/>
      <c r="I370" s="451"/>
      <c r="J370" s="451"/>
      <c r="K370" s="451"/>
      <c r="L370" s="451"/>
      <c r="M370" s="451"/>
      <c r="N370" s="451"/>
      <c r="O370" s="452"/>
      <c r="P370" s="1"/>
      <c r="T370" s="14"/>
      <c r="U370" s="1"/>
      <c r="V370" s="1"/>
      <c r="W370" s="1"/>
      <c r="X370" s="1"/>
      <c r="Y370" s="1"/>
      <c r="Z370" s="1"/>
      <c r="AA370" s="1"/>
      <c r="AB370" s="1"/>
      <c r="AC370" s="1"/>
      <c r="AD370" s="1"/>
      <c r="AE370" s="13"/>
    </row>
    <row r="371" spans="1:31" ht="15.75" customHeight="1">
      <c r="B371" s="169"/>
      <c r="C371" s="335"/>
      <c r="D371" s="453"/>
      <c r="E371" s="454"/>
      <c r="F371" s="454"/>
      <c r="G371" s="454"/>
      <c r="H371" s="454"/>
      <c r="I371" s="454"/>
      <c r="J371" s="454"/>
      <c r="K371" s="454"/>
      <c r="L371" s="454"/>
      <c r="M371" s="454"/>
      <c r="N371" s="454"/>
      <c r="O371" s="455"/>
      <c r="P371" s="1"/>
      <c r="T371" s="14"/>
      <c r="U371" s="1"/>
      <c r="V371" s="1"/>
      <c r="W371" s="1"/>
      <c r="X371" s="1"/>
      <c r="Y371" s="1"/>
      <c r="Z371" s="1"/>
      <c r="AA371" s="1"/>
      <c r="AB371" s="1"/>
      <c r="AC371" s="1"/>
      <c r="AD371" s="1"/>
      <c r="AE371" s="13"/>
    </row>
    <row r="372" spans="1:31" ht="15.75" customHeight="1">
      <c r="B372" s="103"/>
      <c r="C372" s="335"/>
      <c r="D372" s="453"/>
      <c r="E372" s="454"/>
      <c r="F372" s="454"/>
      <c r="G372" s="454"/>
      <c r="H372" s="454"/>
      <c r="I372" s="454"/>
      <c r="J372" s="454"/>
      <c r="K372" s="454"/>
      <c r="L372" s="454"/>
      <c r="M372" s="454"/>
      <c r="N372" s="454"/>
      <c r="O372" s="455"/>
      <c r="P372" s="1"/>
      <c r="T372" s="14"/>
      <c r="U372" s="1"/>
      <c r="V372" s="1"/>
      <c r="W372" s="1"/>
      <c r="X372" s="1"/>
      <c r="Y372" s="1"/>
      <c r="Z372" s="1"/>
      <c r="AA372" s="1"/>
      <c r="AB372" s="1"/>
      <c r="AC372" s="1"/>
      <c r="AD372" s="1"/>
      <c r="AE372" s="13"/>
    </row>
    <row r="373" spans="1:31" ht="15.75" customHeight="1" thickBot="1">
      <c r="B373" s="103"/>
      <c r="C373" s="335"/>
      <c r="D373" s="456"/>
      <c r="E373" s="457"/>
      <c r="F373" s="457"/>
      <c r="G373" s="457"/>
      <c r="H373" s="457"/>
      <c r="I373" s="457"/>
      <c r="J373" s="457"/>
      <c r="K373" s="457"/>
      <c r="L373" s="457"/>
      <c r="M373" s="457"/>
      <c r="N373" s="457"/>
      <c r="O373" s="458"/>
      <c r="P373" s="1"/>
      <c r="T373" s="14"/>
      <c r="U373" s="1"/>
      <c r="V373" s="1"/>
      <c r="W373" s="1"/>
      <c r="X373" s="1"/>
      <c r="Y373" s="1"/>
      <c r="Z373" s="1"/>
      <c r="AA373" s="1"/>
      <c r="AB373" s="1"/>
      <c r="AC373" s="1"/>
      <c r="AD373" s="1"/>
      <c r="AE373" s="13"/>
    </row>
    <row r="374" spans="1:31" ht="16.5" customHeight="1">
      <c r="B374" s="103"/>
      <c r="C374" s="170"/>
      <c r="D374" s="459"/>
      <c r="E374" s="459"/>
      <c r="F374" s="459"/>
      <c r="G374" s="459"/>
      <c r="H374" s="459"/>
      <c r="I374" s="459"/>
      <c r="J374" s="459"/>
      <c r="K374" s="459"/>
      <c r="L374" s="459"/>
      <c r="M374" s="459"/>
      <c r="N374" s="459"/>
      <c r="O374" s="459"/>
      <c r="P374" s="1"/>
      <c r="T374" s="460" t="s">
        <v>4</v>
      </c>
      <c r="U374" s="461"/>
      <c r="V374" s="461"/>
      <c r="W374" s="461"/>
      <c r="X374" s="461"/>
      <c r="Y374" s="461"/>
      <c r="Z374" s="139"/>
      <c r="AA374" s="145"/>
      <c r="AB374" s="195">
        <f>IFERROR(IF('Mon Entreprise'!K8&gt;=Annexes!Q18,0,1-'Mon Entreprise'!M93/2/AB366),0)</f>
        <v>0</v>
      </c>
      <c r="AC374" s="1"/>
      <c r="AD374" s="1"/>
      <c r="AE374" s="13"/>
    </row>
    <row r="375" spans="1:31" ht="16.5" customHeight="1">
      <c r="B375" s="103"/>
      <c r="C375" s="335"/>
      <c r="D375" s="309"/>
      <c r="E375" s="309"/>
      <c r="F375" s="309"/>
      <c r="G375" s="309"/>
      <c r="H375" s="309"/>
      <c r="I375" s="309"/>
      <c r="J375" s="309"/>
      <c r="K375" s="309"/>
      <c r="L375" s="309"/>
      <c r="M375" s="309"/>
      <c r="N375" s="309"/>
      <c r="O375" s="309"/>
      <c r="P375" s="1"/>
      <c r="T375" s="110"/>
      <c r="U375" s="462" t="s">
        <v>102</v>
      </c>
      <c r="V375" s="462"/>
      <c r="W375" s="462"/>
      <c r="X375" s="462"/>
      <c r="Y375" s="462"/>
      <c r="Z375" s="139"/>
      <c r="AA375" s="145"/>
      <c r="AB375" s="195">
        <f>IFERROR(IF('Mon Entreprise'!K8&gt;Annexes!Q29,0,IF('Mon Entreprise'!K8&gt;Annexes!Q26,1,1-'Mon Entreprise'!M89/AB366)),0)</f>
        <v>0</v>
      </c>
      <c r="AC375" s="1"/>
      <c r="AD375" s="1"/>
      <c r="AE375" s="13"/>
    </row>
    <row r="376" spans="1:31" ht="16.5" customHeight="1">
      <c r="B376" s="103"/>
      <c r="C376" s="463" t="s">
        <v>453</v>
      </c>
      <c r="D376" s="463"/>
      <c r="E376" s="463"/>
      <c r="F376" s="463"/>
      <c r="G376" s="463"/>
      <c r="H376" s="463"/>
      <c r="I376" s="463"/>
      <c r="J376" s="463"/>
      <c r="K376" s="463"/>
      <c r="L376" s="463"/>
      <c r="M376" s="463"/>
      <c r="N376" s="463"/>
      <c r="O376" s="463"/>
      <c r="P376" s="1"/>
      <c r="T376" s="110"/>
      <c r="U376" s="462" t="s">
        <v>109</v>
      </c>
      <c r="V376" s="462"/>
      <c r="W376" s="462"/>
      <c r="X376" s="462"/>
      <c r="Y376" s="462"/>
      <c r="Z376" s="139"/>
      <c r="AA376" s="145"/>
      <c r="AB376" s="195">
        <f>IFERROR(IF(Annexes!O27&gt;'Mon Entreprise'!K8,1-'Mon Entreprise'!M73/'Mon Entreprise'!I73,0),0)</f>
        <v>0</v>
      </c>
      <c r="AC376" s="1"/>
      <c r="AD376" s="1"/>
      <c r="AE376" s="13"/>
    </row>
    <row r="377" spans="1:31" ht="16.5" customHeight="1">
      <c r="B377" s="103"/>
      <c r="C377" s="463"/>
      <c r="D377" s="463"/>
      <c r="E377" s="463"/>
      <c r="F377" s="463"/>
      <c r="G377" s="463"/>
      <c r="H377" s="463"/>
      <c r="I377" s="463"/>
      <c r="J377" s="463"/>
      <c r="K377" s="463"/>
      <c r="L377" s="463"/>
      <c r="M377" s="463"/>
      <c r="N377" s="463"/>
      <c r="O377" s="463"/>
      <c r="P377" s="1"/>
      <c r="T377" s="110"/>
      <c r="U377" s="329"/>
      <c r="V377" s="329"/>
      <c r="W377" s="329"/>
      <c r="X377" s="329"/>
      <c r="Y377" s="329"/>
      <c r="Z377" s="139"/>
      <c r="AA377" s="145"/>
      <c r="AB377" s="195"/>
      <c r="AC377" s="1"/>
      <c r="AD377" s="1"/>
      <c r="AE377" s="13"/>
    </row>
    <row r="378" spans="1:31" ht="16.5" customHeight="1">
      <c r="B378" s="103"/>
      <c r="C378" s="463"/>
      <c r="D378" s="463"/>
      <c r="E378" s="463"/>
      <c r="F378" s="463"/>
      <c r="G378" s="463"/>
      <c r="H378" s="463"/>
      <c r="I378" s="463"/>
      <c r="J378" s="463"/>
      <c r="K378" s="463"/>
      <c r="L378" s="463"/>
      <c r="M378" s="463"/>
      <c r="N378" s="463"/>
      <c r="O378" s="463"/>
      <c r="P378" s="1"/>
      <c r="T378" s="14"/>
      <c r="U378" s="464" t="s">
        <v>8</v>
      </c>
      <c r="V378" s="464"/>
      <c r="W378" s="464"/>
      <c r="X378" s="464"/>
      <c r="Y378" s="464"/>
      <c r="Z378" s="1"/>
      <c r="AA378" s="14"/>
      <c r="AB378" s="333" t="str">
        <f>IF((AND(Annexes!F5&gt;1,Annexes!F5&lt;=Annexes!H6)),"OUI","NON")</f>
        <v>NON</v>
      </c>
      <c r="AC378" s="1"/>
      <c r="AD378" s="1"/>
      <c r="AE378" s="13"/>
    </row>
    <row r="379" spans="1:31" ht="16.5" customHeight="1">
      <c r="B379" s="103"/>
      <c r="C379" s="463"/>
      <c r="D379" s="463"/>
      <c r="E379" s="463"/>
      <c r="F379" s="463"/>
      <c r="G379" s="463"/>
      <c r="H379" s="463"/>
      <c r="I379" s="463"/>
      <c r="J379" s="463"/>
      <c r="K379" s="463"/>
      <c r="L379" s="463"/>
      <c r="M379" s="463"/>
      <c r="N379" s="463"/>
      <c r="O379" s="463"/>
      <c r="P379" s="1"/>
      <c r="T379" s="14"/>
      <c r="U379" s="337"/>
      <c r="V379" s="337"/>
      <c r="W379" s="337"/>
      <c r="X379" s="337"/>
      <c r="Y379" s="337" t="s">
        <v>9</v>
      </c>
      <c r="Z379" s="1"/>
      <c r="AA379" s="14"/>
      <c r="AB379" s="333" t="str">
        <f>IF(AND(Annexes!F7&gt;1,Annexes!F7&lt;=Annexes!H8),"OUI","NON")</f>
        <v>NON</v>
      </c>
      <c r="AC379" s="1"/>
      <c r="AD379" s="1"/>
      <c r="AE379" s="13"/>
    </row>
    <row r="380" spans="1:31" ht="16.5" customHeight="1">
      <c r="B380" s="103"/>
      <c r="C380" s="335"/>
      <c r="D380" s="309"/>
      <c r="E380" s="359" t="str">
        <f>IF(AB384="NON","",IF(OR(AB378="OUI",AND(OR(AB380="OUI",AB379="OUI"),OR(AB374&gt;=Annexes!P5,AB375&gt;=Annexes!P5,'Mes Aides'!AB145&gt;=0.1)),AB381=TRUE,AB382=TRUE),"",IF(AND(OR(AB380="OUI",AB379="OUI"),OR(AB374&lt;Annexes!P5,AB375&lt;Annexes!P5,'Mes Aides'!AB198&lt;0.1)),"L'entreprise fait partie des entreprises mentionnées en annexe 2 ou 3 du décret mais n'a pas eu une perte de CA d'au-Moins 80 %, entre le 15/03/2020 et le 15/05/2020 ou Novembre 2020 ou 10 % entre 2019 et 2020","L'entreprise ne fait pas partie des entreprises ayant une fermeture administrative avec 20 % de perte et ne fait pas partie des activités mentionnées aux annexes 1, 2 et 3 ou dans un centre commercial du décret ayant une perte significative.")))</f>
        <v>L'entreprise ne fait pas partie des entreprises ayant une fermeture administrative avec 20 % de perte et ne fait pas partie des activités mentionnées aux annexes 1, 2 et 3 ou dans un centre commercial du décret ayant une perte significative.</v>
      </c>
      <c r="F380" s="359"/>
      <c r="G380" s="359"/>
      <c r="H380" s="359"/>
      <c r="I380" s="359"/>
      <c r="J380" s="359"/>
      <c r="K380" s="359"/>
      <c r="L380" s="359"/>
      <c r="M380" s="359"/>
      <c r="N380" s="359"/>
      <c r="O380" s="359"/>
      <c r="P380" s="1"/>
      <c r="T380" s="436" t="s">
        <v>456</v>
      </c>
      <c r="U380" s="435"/>
      <c r="V380" s="435"/>
      <c r="W380" s="435"/>
      <c r="X380" s="435"/>
      <c r="Y380" s="435"/>
      <c r="Z380" s="1"/>
      <c r="AA380" s="14"/>
      <c r="AB380" s="333" t="str">
        <f>IF(OR(Annexes!M17=TRUE,Annexes!M23=TRUE,Annexes!M24=TRUE),"OUI","NON")</f>
        <v>NON</v>
      </c>
      <c r="AC380" s="1"/>
      <c r="AD380" s="1"/>
      <c r="AE380" s="13"/>
    </row>
    <row r="381" spans="1:31" ht="16.5" customHeight="1">
      <c r="B381" s="103"/>
      <c r="C381" s="335"/>
      <c r="D381" s="309"/>
      <c r="E381" s="359"/>
      <c r="F381" s="359"/>
      <c r="G381" s="359"/>
      <c r="H381" s="359"/>
      <c r="I381" s="359"/>
      <c r="J381" s="359"/>
      <c r="K381" s="359"/>
      <c r="L381" s="359"/>
      <c r="M381" s="359"/>
      <c r="N381" s="359"/>
      <c r="O381" s="359"/>
      <c r="P381" s="1"/>
      <c r="T381" s="14"/>
      <c r="U381" s="435" t="s">
        <v>313</v>
      </c>
      <c r="V381" s="435"/>
      <c r="W381" s="435"/>
      <c r="X381" s="435"/>
      <c r="Y381" s="435"/>
      <c r="Z381" s="1"/>
      <c r="AA381" s="14"/>
      <c r="AB381" s="333" t="b">
        <f>IF(Annexes!M29=TRUE,TRUE,FALSE)</f>
        <v>0</v>
      </c>
      <c r="AC381" s="1"/>
      <c r="AD381" s="1"/>
      <c r="AE381" s="13"/>
    </row>
    <row r="382" spans="1:31" ht="16.5" customHeight="1">
      <c r="B382" s="169"/>
      <c r="C382" s="335"/>
      <c r="D382" s="309"/>
      <c r="E382" s="359"/>
      <c r="F382" s="359"/>
      <c r="G382" s="359"/>
      <c r="H382" s="359"/>
      <c r="I382" s="359"/>
      <c r="J382" s="359"/>
      <c r="K382" s="359"/>
      <c r="L382" s="359"/>
      <c r="M382" s="359"/>
      <c r="N382" s="359"/>
      <c r="O382" s="359"/>
      <c r="P382" s="1"/>
      <c r="T382" s="14"/>
      <c r="U382" s="435" t="s">
        <v>394</v>
      </c>
      <c r="V382" s="435"/>
      <c r="W382" s="435"/>
      <c r="X382" s="435"/>
      <c r="Y382" s="435"/>
      <c r="Z382" s="1"/>
      <c r="AA382" s="14"/>
      <c r="AB382" s="333" t="b">
        <f>IF(Annexes!M30=TRUE,TRUE,FALSE)</f>
        <v>0</v>
      </c>
      <c r="AC382" s="1"/>
      <c r="AD382" s="1"/>
      <c r="AE382" s="13"/>
    </row>
    <row r="383" spans="1:31" ht="16.5" customHeight="1">
      <c r="A383" s="99"/>
      <c r="B383" s="103"/>
      <c r="C383" s="335"/>
      <c r="D383" s="465"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383" s="465"/>
      <c r="F383" s="465"/>
      <c r="G383" s="465"/>
      <c r="H383" s="465"/>
      <c r="I383" s="465"/>
      <c r="J383" s="465"/>
      <c r="K383" s="465"/>
      <c r="L383" s="465"/>
      <c r="M383" s="465"/>
      <c r="N383" s="465"/>
      <c r="O383" s="465"/>
      <c r="P383" s="1"/>
      <c r="T383" s="14"/>
      <c r="U383" s="333"/>
      <c r="V383" s="333"/>
      <c r="W383" s="333"/>
      <c r="X383" s="333"/>
      <c r="Y383" s="333"/>
      <c r="Z383" s="1"/>
      <c r="AA383" s="14"/>
      <c r="AB383" s="333"/>
      <c r="AC383" s="1"/>
      <c r="AD383" s="1"/>
      <c r="AE383" s="13"/>
    </row>
    <row r="384" spans="1:31" ht="16.5" customHeight="1">
      <c r="A384" s="99"/>
      <c r="B384" s="103"/>
      <c r="C384" s="335"/>
      <c r="D384" s="466" t="str">
        <f>IFERROR(IF('Mon Entreprise'!K8&gt;=Annexes!O20,"",IF(AB354&lt;AB355,"A noter qu'il convient de choisir l'option retenue par l'entreprise lors de sa demande au titre du mois Février 2021, ou a défaut celui du mois de Mars 2021, si le CA de référence était celui de février 2019,"&amp;" il convient de prendre celui d'Avril 2019 (...), soit "&amp;ROUND(AB354,0)&amp;" €"&amp;" ==&gt; "&amp;ROUND(AE354*100,0)&amp;" %","A noter qu'il convient de choisir l'option retenue par l'entreprise lors de sa demande"&amp;" au titre du mois Février 2021,  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384" s="466"/>
      <c r="F384" s="466"/>
      <c r="G384" s="466"/>
      <c r="H384" s="466"/>
      <c r="I384" s="466"/>
      <c r="J384" s="466"/>
      <c r="K384" s="466"/>
      <c r="L384" s="466"/>
      <c r="M384" s="466"/>
      <c r="N384" s="466"/>
      <c r="O384" s="466"/>
      <c r="P384" s="1"/>
      <c r="T384" s="14"/>
      <c r="U384" s="467" t="s">
        <v>72</v>
      </c>
      <c r="V384" s="467"/>
      <c r="W384" s="467"/>
      <c r="X384" s="467"/>
      <c r="Y384" s="467"/>
      <c r="Z384" s="139"/>
      <c r="AA384" s="145"/>
      <c r="AB384" s="332" t="str">
        <f>IF(AB365="Oui","Oui","Non")</f>
        <v>Oui</v>
      </c>
      <c r="AC384" s="139"/>
      <c r="AD384" s="1"/>
      <c r="AE384" s="13"/>
    </row>
    <row r="385" spans="1:31" ht="16.5" customHeight="1">
      <c r="A385" s="99"/>
      <c r="B385" s="103"/>
      <c r="C385" s="335"/>
      <c r="D385" s="466"/>
      <c r="E385" s="466"/>
      <c r="F385" s="466"/>
      <c r="G385" s="466"/>
      <c r="H385" s="466"/>
      <c r="I385" s="466"/>
      <c r="J385" s="466"/>
      <c r="K385" s="466"/>
      <c r="L385" s="466"/>
      <c r="M385" s="466"/>
      <c r="N385" s="466"/>
      <c r="O385" s="466"/>
      <c r="P385" s="1"/>
      <c r="T385" s="14"/>
      <c r="U385" s="467" t="s">
        <v>84</v>
      </c>
      <c r="V385" s="467"/>
      <c r="W385" s="467"/>
      <c r="X385" s="467"/>
      <c r="Y385" s="467"/>
      <c r="Z385" s="139"/>
      <c r="AA385" s="145"/>
      <c r="AB385" s="332">
        <f>IF('Mon Entreprise'!K8&gt;=Annexes!O20,IF(AB354&gt;=AB356,AB354,AB356),IF(AB354&gt;=AB355,AB354,AB355))</f>
        <v>0</v>
      </c>
      <c r="AC385" s="139"/>
      <c r="AD385" s="1"/>
      <c r="AE385" s="13"/>
    </row>
    <row r="386" spans="1:31" ht="16.5" customHeight="1">
      <c r="B386" s="103"/>
      <c r="C386" s="335"/>
      <c r="D386" s="216" t="str">
        <f>IF(OR(AB378="OUI",AB381=TRUE),"- Sans ticket modérateur",IF(AND(OR(AB380="OUI",AB379="OUI"),OR(AB374&gt;=0.8,AB375&gt;=0.8,AB376&gt;=0.1)),"- La Perte de référence est plafonnée à 80 %, soit "&amp;ROUND(AB389,0)&amp;" €","- Sans ticket modérateur"))</f>
        <v>- Sans ticket modérateur</v>
      </c>
      <c r="E386" s="328"/>
      <c r="F386" s="328"/>
      <c r="G386" s="328"/>
      <c r="H386" s="328"/>
      <c r="I386" s="328"/>
      <c r="J386" s="328"/>
      <c r="K386" s="328"/>
      <c r="L386" s="328"/>
      <c r="M386" s="328"/>
      <c r="N386" s="328"/>
      <c r="O386" s="328"/>
      <c r="P386" s="1"/>
      <c r="T386" s="14"/>
      <c r="U386" s="467" t="s">
        <v>85</v>
      </c>
      <c r="V386" s="467"/>
      <c r="W386" s="467"/>
      <c r="X386" s="467"/>
      <c r="Y386" s="467"/>
      <c r="Z386" s="139"/>
      <c r="AA386" s="145"/>
      <c r="AB386" s="332">
        <f>IF('Mon Entreprise'!K8&gt;=Annexes!O20,IF(AB354&gt;=AB356,AE354,AE356),IF(AB354&gt;=AB355,AE354,AE355))</f>
        <v>0</v>
      </c>
      <c r="AC386" s="139"/>
      <c r="AD386" s="1"/>
      <c r="AE386" s="13"/>
    </row>
    <row r="387" spans="1:31" ht="16.5" customHeight="1" thickBot="1">
      <c r="B387" s="103"/>
      <c r="C387" s="335"/>
      <c r="D387" s="328"/>
      <c r="E387" s="328"/>
      <c r="F387" s="328"/>
      <c r="G387" s="328"/>
      <c r="H387" s="328"/>
      <c r="I387" s="328"/>
      <c r="J387" s="328"/>
      <c r="K387" s="328"/>
      <c r="L387" s="328"/>
      <c r="M387" s="328"/>
      <c r="N387" s="328"/>
      <c r="O387" s="328"/>
      <c r="P387" s="1"/>
      <c r="T387" s="14"/>
      <c r="U387" s="447" t="s">
        <v>74</v>
      </c>
      <c r="V387" s="447"/>
      <c r="W387" s="447"/>
      <c r="X387" s="447"/>
      <c r="Y387" s="447"/>
      <c r="Z387" s="139"/>
      <c r="AA387" s="145"/>
      <c r="AB387" s="332">
        <f>IF(OR(AB378="OUI",AB381=TRUE),1,IF(AND(OR(AB380="OUI",AB379="OUI"),OR(AB374&gt;=0.8,AB375&gt;=0.8,AB376&gt;=0.1)),0.8,1))</f>
        <v>1</v>
      </c>
      <c r="AC387" s="139"/>
      <c r="AD387" s="1"/>
      <c r="AE387" s="13"/>
    </row>
    <row r="388" spans="1:31" ht="16.5" customHeight="1">
      <c r="B388" s="103"/>
      <c r="C388" s="335"/>
      <c r="D388" s="450" t="str">
        <f>IFERROR(IF(AB384="NON","Vous avez débuté votre activité après le 31 Janvier 2020, vous ne pouvez donc pas bénéficier de cette aide",IF(OR(AB381=TRUE,AND(AB382=TRUE,AB386&gt;=0.5)),IF(AB389&gt;Annexes!O6,"Dans votre cas, l'aide est Plafonnée, à "&amp;Annexes!O6&amp;" € pour le mois d'Avril","Vous pouvez bénéficier, au titre de cette aide, d'un montant de "&amp;ROUND(AB389,0)&amp;" € pour le mois d'Avril"),IF(AB386&gt;=0.5,IF(OR(AB378="OUI",AND(OR(AB380="OUI",AB379="OUI"),OR(AB374&gt;=Annexes!P5,AB375&gt;=Annexes!P5,AB376&gt;=0.1))),IF(AB389&gt;Annexes!O6,"Dans votre cas, l'aide est Plafonnée, à "&amp;Annexes!O6&amp;" € pour le mois d'Avril","Vous pouvez bénéficier, au titre de cette aide, d'un montant de "&amp;ROUND(AB389,0)&amp;" € pour le mois d'Avril"),IF(AND(OR(AB380="OUI",AB379="OUI"),OR(AB374&lt;Annexes!P5,AB375&lt;Annexes!P5)),"L'entreprise fait partie des entreprises mentionnées en annexe 2 ou 3 ou dans un centre commercial du décret, mais n'a pas eu une perte de CA d'au-Moins 80 % entre le 15/03/2020 et le 15/05/2020 "&amp;"ou au mois de Novembre 2020 ou 10 % de perte entre 2019 et 2020","L'entreprise ne fait pas partie des entreprises"&amp;" ayant une fermeture administrative avec une perte de 20 % de CA et ne fait pas partie des activités mentionnées aux annexes 1, 2 et 3 ou dans un centre commercial du décret")),"L'entreprise n'a pas une perte d'au moins 50 % en Avril 2021"))),"Vous n'avez pas indiqué de chiffre d'affaires de référence")</f>
        <v>L'entreprise n'a pas une perte d'au moins 50 % en Avril 2021</v>
      </c>
      <c r="E388" s="451"/>
      <c r="F388" s="451"/>
      <c r="G388" s="451"/>
      <c r="H388" s="451"/>
      <c r="I388" s="451"/>
      <c r="J388" s="451"/>
      <c r="K388" s="451"/>
      <c r="L388" s="451"/>
      <c r="M388" s="451"/>
      <c r="N388" s="451"/>
      <c r="O388" s="452"/>
      <c r="P388" s="1"/>
      <c r="T388" s="14"/>
      <c r="U388" s="447" t="s">
        <v>80</v>
      </c>
      <c r="V388" s="447"/>
      <c r="W388" s="447"/>
      <c r="X388" s="447"/>
      <c r="Y388" s="447"/>
      <c r="Z388" s="139"/>
      <c r="AA388" s="145"/>
      <c r="AB388" s="332">
        <f>IF('Mon Entreprise'!K8&gt;=Annexes!O20,IF(AB354&gt;=AB356,Y354,Y356),IF(AB354&gt;=AB355,Y354,Y355))</f>
        <v>0</v>
      </c>
      <c r="AC388" s="139"/>
      <c r="AD388" s="1"/>
      <c r="AE388" s="13"/>
    </row>
    <row r="389" spans="1:31" ht="16.5" customHeight="1">
      <c r="B389" s="174"/>
      <c r="C389" s="335"/>
      <c r="D389" s="453"/>
      <c r="E389" s="454"/>
      <c r="F389" s="454"/>
      <c r="G389" s="454"/>
      <c r="H389" s="454"/>
      <c r="I389" s="454"/>
      <c r="J389" s="454"/>
      <c r="K389" s="454"/>
      <c r="L389" s="454"/>
      <c r="M389" s="454"/>
      <c r="N389" s="454"/>
      <c r="O389" s="455"/>
      <c r="P389" s="1"/>
      <c r="T389" s="14"/>
      <c r="U389" s="435" t="s">
        <v>104</v>
      </c>
      <c r="V389" s="435"/>
      <c r="W389" s="435"/>
      <c r="X389" s="435"/>
      <c r="Y389" s="435"/>
      <c r="Z389" s="1"/>
      <c r="AA389" s="14"/>
      <c r="AB389" s="333">
        <f>IF(AB387=1,AB385,IF(AB385*AB387&gt;1500,IF(AB385&gt;1500,AB385*AB387,"Impossible"),IF(AB385&lt;1500,AB385,1500)))</f>
        <v>0</v>
      </c>
      <c r="AC389" s="1"/>
      <c r="AD389" s="1"/>
      <c r="AE389" s="13"/>
    </row>
    <row r="390" spans="1:31" ht="16.5" customHeight="1">
      <c r="B390" s="103"/>
      <c r="C390" s="335"/>
      <c r="D390" s="453"/>
      <c r="E390" s="454"/>
      <c r="F390" s="454"/>
      <c r="G390" s="454"/>
      <c r="H390" s="454"/>
      <c r="I390" s="454"/>
      <c r="J390" s="454"/>
      <c r="K390" s="454"/>
      <c r="L390" s="454"/>
      <c r="M390" s="454"/>
      <c r="N390" s="454"/>
      <c r="O390" s="455"/>
      <c r="P390" s="1"/>
      <c r="T390" s="14"/>
      <c r="U390" s="333"/>
      <c r="V390" s="333"/>
      <c r="W390" s="333"/>
      <c r="X390" s="333"/>
      <c r="Y390" s="333"/>
      <c r="Z390" s="1"/>
      <c r="AA390" s="1"/>
      <c r="AB390" s="1"/>
      <c r="AC390" s="1"/>
      <c r="AD390" s="1"/>
      <c r="AE390" s="13"/>
    </row>
    <row r="391" spans="1:31" ht="16.5" customHeight="1" thickBot="1">
      <c r="B391" s="103"/>
      <c r="C391" s="335"/>
      <c r="D391" s="456"/>
      <c r="E391" s="457"/>
      <c r="F391" s="457"/>
      <c r="G391" s="457"/>
      <c r="H391" s="457"/>
      <c r="I391" s="457"/>
      <c r="J391" s="457"/>
      <c r="K391" s="457"/>
      <c r="L391" s="457"/>
      <c r="M391" s="457"/>
      <c r="N391" s="457"/>
      <c r="O391" s="458"/>
      <c r="P391" s="1"/>
      <c r="T391" s="14"/>
      <c r="U391" s="435"/>
      <c r="V391" s="435"/>
      <c r="W391" s="435"/>
      <c r="X391" s="435"/>
      <c r="Y391" s="435"/>
      <c r="Z391" s="1"/>
      <c r="AA391" s="1"/>
      <c r="AB391" s="1"/>
      <c r="AC391" s="1"/>
      <c r="AD391" s="1"/>
      <c r="AE391" s="13"/>
    </row>
    <row r="392" spans="1:31" ht="16.5" customHeight="1">
      <c r="B392" s="103"/>
      <c r="C392" s="170"/>
      <c r="D392" s="175"/>
      <c r="E392" s="175"/>
      <c r="F392" s="175"/>
      <c r="G392" s="175"/>
      <c r="H392" s="175"/>
      <c r="I392" s="175"/>
      <c r="J392" s="175"/>
      <c r="K392" s="175"/>
      <c r="L392" s="175"/>
      <c r="M392" s="175"/>
      <c r="N392" s="175"/>
      <c r="O392" s="175"/>
      <c r="P392" s="1"/>
      <c r="T392" s="14"/>
      <c r="U392" s="333"/>
      <c r="V392" s="333"/>
      <c r="W392" s="333"/>
      <c r="X392" s="333"/>
      <c r="Y392" s="333"/>
      <c r="Z392" s="1"/>
      <c r="AA392" s="1"/>
      <c r="AB392" s="1"/>
      <c r="AC392" s="1"/>
      <c r="AD392" s="1"/>
      <c r="AE392" s="13"/>
    </row>
    <row r="393" spans="1:31" ht="16.5" customHeight="1">
      <c r="B393" s="103"/>
      <c r="C393" s="335"/>
      <c r="D393" s="328"/>
      <c r="E393" s="328"/>
      <c r="F393" s="328"/>
      <c r="G393" s="328"/>
      <c r="H393" s="328"/>
      <c r="I393" s="328"/>
      <c r="J393" s="328"/>
      <c r="K393" s="328"/>
      <c r="L393" s="328"/>
      <c r="M393" s="328"/>
      <c r="N393" s="328"/>
      <c r="O393" s="328"/>
      <c r="P393" s="1"/>
      <c r="T393" s="14"/>
      <c r="U393" s="1"/>
      <c r="V393" s="1"/>
      <c r="W393" s="1"/>
      <c r="X393" s="1"/>
      <c r="Y393" s="1"/>
      <c r="Z393" s="1"/>
      <c r="AA393" s="1"/>
      <c r="AB393" s="1"/>
      <c r="AC393" s="1"/>
      <c r="AD393" s="1"/>
      <c r="AE393" s="13"/>
    </row>
    <row r="394" spans="1:31" ht="16.5" customHeight="1">
      <c r="B394" s="103"/>
      <c r="C394" s="469" t="s">
        <v>454</v>
      </c>
      <c r="D394" s="469"/>
      <c r="E394" s="469"/>
      <c r="F394" s="469"/>
      <c r="G394" s="469"/>
      <c r="H394" s="469"/>
      <c r="I394" s="469"/>
      <c r="J394" s="469"/>
      <c r="K394" s="469"/>
      <c r="L394" s="469"/>
      <c r="M394" s="469"/>
      <c r="N394" s="469"/>
      <c r="O394" s="469"/>
      <c r="P394" s="1"/>
      <c r="T394" s="14"/>
      <c r="U394" s="1"/>
      <c r="V394" s="1"/>
      <c r="W394" s="1"/>
      <c r="X394" s="1"/>
      <c r="Y394" s="1"/>
      <c r="Z394" s="1"/>
      <c r="AA394" s="1"/>
      <c r="AB394" s="1"/>
      <c r="AC394" s="1"/>
      <c r="AD394" s="1"/>
      <c r="AE394" s="13"/>
    </row>
    <row r="395" spans="1:31" ht="16.5" customHeight="1">
      <c r="B395" s="103"/>
      <c r="C395" s="469"/>
      <c r="D395" s="469"/>
      <c r="E395" s="469"/>
      <c r="F395" s="469"/>
      <c r="G395" s="469"/>
      <c r="H395" s="469"/>
      <c r="I395" s="469"/>
      <c r="J395" s="469"/>
      <c r="K395" s="469"/>
      <c r="L395" s="469"/>
      <c r="M395" s="469"/>
      <c r="N395" s="469"/>
      <c r="O395" s="469"/>
      <c r="P395" s="1"/>
      <c r="T395" s="14"/>
      <c r="U395" s="1"/>
      <c r="V395" s="1"/>
      <c r="W395" s="1"/>
      <c r="X395" s="1"/>
      <c r="Y395" s="1"/>
      <c r="Z395" s="1"/>
      <c r="AA395" s="1"/>
      <c r="AB395" s="1"/>
      <c r="AC395" s="1"/>
      <c r="AD395" s="1"/>
      <c r="AE395" s="13"/>
    </row>
    <row r="396" spans="1:31" ht="16.5" customHeight="1">
      <c r="B396" s="103"/>
      <c r="C396" s="469"/>
      <c r="D396" s="469"/>
      <c r="E396" s="469"/>
      <c r="F396" s="469"/>
      <c r="G396" s="469"/>
      <c r="H396" s="469"/>
      <c r="I396" s="469"/>
      <c r="J396" s="469"/>
      <c r="K396" s="469"/>
      <c r="L396" s="469"/>
      <c r="M396" s="469"/>
      <c r="N396" s="469"/>
      <c r="O396" s="469"/>
      <c r="P396" s="1"/>
      <c r="T396" s="14"/>
      <c r="U396" s="1"/>
      <c r="V396" s="1"/>
      <c r="W396" s="1"/>
      <c r="X396" s="1"/>
      <c r="Y396" s="1"/>
      <c r="Z396" s="1"/>
      <c r="AA396" s="1"/>
      <c r="AB396" s="1"/>
      <c r="AC396" s="1"/>
      <c r="AD396" s="1"/>
      <c r="AE396" s="13"/>
    </row>
    <row r="397" spans="1:31" ht="16.5" customHeight="1">
      <c r="B397" s="174"/>
      <c r="C397" s="469"/>
      <c r="D397" s="469"/>
      <c r="E397" s="469"/>
      <c r="F397" s="469"/>
      <c r="G397" s="469"/>
      <c r="H397" s="469"/>
      <c r="I397" s="469"/>
      <c r="J397" s="469"/>
      <c r="K397" s="469"/>
      <c r="L397" s="469"/>
      <c r="M397" s="469"/>
      <c r="N397" s="469"/>
      <c r="O397" s="469"/>
      <c r="P397" s="1"/>
      <c r="T397" s="14"/>
      <c r="U397" s="1"/>
      <c r="V397" s="1"/>
      <c r="W397" s="1"/>
      <c r="X397" s="1"/>
      <c r="Y397" s="1"/>
      <c r="Z397" s="1"/>
      <c r="AA397" s="1"/>
      <c r="AB397" s="1"/>
      <c r="AC397" s="1"/>
      <c r="AD397" s="1"/>
      <c r="AE397" s="13"/>
    </row>
    <row r="398" spans="1:31" ht="16.5" customHeight="1">
      <c r="B398" s="174"/>
      <c r="C398" s="335"/>
      <c r="D398" s="309"/>
      <c r="E398" s="465" t="str">
        <f>IF(AB384="NON","",IF(OR(AB378="OUI",AND(OR(AB380="OUI",AB379="OUI"),OR(AB374&gt;=Annexes!P5,AB375&gt;=Annexes!P5,'Mes Aides'!AB145&gt;=0.1)),AB381=TRUE,AB382=TRUE),"",IF(AND(OR(AB380="OUI",AB379="OUI"),OR(AB374&lt;Annexes!P5,AB375&lt;Annexes!P5,'Mes Aides'!AB145&lt;0.1)),"L'entreprise fait partie des entreprises mentionnées en annexe 2 ou 3 ou dans un centre commercial du décret mais n'a pas eu une perte de CA d'au-Moins 80 %, entre le 15/03/2020 et le 15/05/2020 ou Novembre 2020 ou 10 % entre 2019 et 2020","L'entreprise ne fait pas partie des entreprises ayant une fermeture administrative sur le mois avec une perte de 20 % de CA et ne fait pas partie des activités mentionnées aux annexes 1, 2 et 3 ou dans un centre commercial du décret.")))</f>
        <v>L'entreprise ne fait pas partie des entreprises ayant une fermeture administrative sur le mois avec une perte de 20 % de CA et ne fait pas partie des activités mentionnées aux annexes 1, 2 et 3 ou dans un centre commercial du décret.</v>
      </c>
      <c r="F398" s="465"/>
      <c r="G398" s="465"/>
      <c r="H398" s="465"/>
      <c r="I398" s="465"/>
      <c r="J398" s="465"/>
      <c r="K398" s="465"/>
      <c r="L398" s="465"/>
      <c r="M398" s="465"/>
      <c r="N398" s="465"/>
      <c r="O398" s="465"/>
      <c r="P398" s="1"/>
      <c r="T398" s="14"/>
      <c r="U398" s="447" t="s">
        <v>82</v>
      </c>
      <c r="V398" s="447"/>
      <c r="W398" s="447"/>
      <c r="X398" s="447"/>
      <c r="Y398" s="447"/>
      <c r="Z398" s="68"/>
      <c r="AA398" s="1"/>
      <c r="AB398" s="1">
        <f>IFERROR(IF(AB365="Non",0,IF(OR(AB381=TRUE,AND(AB368&lt;0.5,AB382=TRUE),(AB368&gt;=0.5)),IF(AB367&gt;Annexes!O5,Annexes!O5,ROUND(AB367,0)),0)),0)</f>
        <v>0</v>
      </c>
      <c r="AC398" s="1"/>
      <c r="AD398" s="1"/>
      <c r="AE398" s="13"/>
    </row>
    <row r="399" spans="1:31" ht="15" customHeight="1">
      <c r="B399" s="174"/>
      <c r="C399" s="335"/>
      <c r="D399" s="309"/>
      <c r="E399" s="465"/>
      <c r="F399" s="465"/>
      <c r="G399" s="465"/>
      <c r="H399" s="465"/>
      <c r="I399" s="465"/>
      <c r="J399" s="465"/>
      <c r="K399" s="465"/>
      <c r="L399" s="465"/>
      <c r="M399" s="465"/>
      <c r="N399" s="465"/>
      <c r="O399" s="465"/>
      <c r="P399" s="1"/>
      <c r="T399" s="14"/>
      <c r="U399" s="447" t="s">
        <v>81</v>
      </c>
      <c r="V399" s="447"/>
      <c r="W399" s="447"/>
      <c r="X399" s="447"/>
      <c r="Y399" s="447"/>
      <c r="Z399" s="68"/>
      <c r="AA399" s="1"/>
      <c r="AB399" s="1">
        <f>IFERROR(IF(AB384="NON",0,IF(OR(AB381=TRUE,AND(AB382=TRUE,AB386&gt;=0.5)),IF(AB389&gt;Annexes!O6,Annexes!O6,ROUND(AB389,0)),IF(AB386&gt;=0.5,IF(OR(AB378="OUI",AND(OR(AB380="OUI",AB379="OUI"),OR(AB374&gt;=Annexes!P5,AB375&gt;=Annexes!P5,AB376&gt;=0.1))),IF(AB389&gt;Annexes!O6,Annexes!O6,ROUND(AB389,0)),IF(AND(OR(AB380="OUI",AB379="OUI"),OR(AB374&lt;Annexes!P5,AB375&lt;Annexes!P5)),0,0)),0))),0)</f>
        <v>0</v>
      </c>
      <c r="AC399" s="1"/>
      <c r="AD399" s="1"/>
      <c r="AE399" s="13"/>
    </row>
    <row r="400" spans="1:31" ht="15" customHeight="1">
      <c r="B400" s="174"/>
      <c r="C400" s="335"/>
      <c r="D400" s="309"/>
      <c r="E400" s="465"/>
      <c r="F400" s="465"/>
      <c r="G400" s="465"/>
      <c r="H400" s="465"/>
      <c r="I400" s="465"/>
      <c r="J400" s="465"/>
      <c r="K400" s="465"/>
      <c r="L400" s="465"/>
      <c r="M400" s="465"/>
      <c r="N400" s="465"/>
      <c r="O400" s="465"/>
      <c r="P400" s="1"/>
      <c r="T400" s="14"/>
      <c r="U400" s="447" t="s">
        <v>399</v>
      </c>
      <c r="V400" s="447"/>
      <c r="W400" s="447"/>
      <c r="X400" s="447"/>
      <c r="Y400" s="447"/>
      <c r="Z400" s="68"/>
      <c r="AA400" s="1"/>
      <c r="AB400" s="1">
        <f>IFERROR(IF(AB384="NON",0,IF(OR(AB381=TRUE,AND(AB382=TRUE,AB386&gt;=0.5)),IF(AB388=0,0,IF(AB385&lt;AB388*0.2,ROUND(AB385,0),IF(AB388*0.2&gt;=200000,Annexes!O8,ROUND(AB388*0.2,0)))),IF(OR(AB378="OUI",AND(AB379="OUI",OR(AB374&gt;=0.8,AB375&gt;=0.8,AB376&gt;=0.1))),IF(AB386&gt;=0.7,IF(AB385&lt;AB388*0.2,ROUND(AB385,0),IF(AB388*0.2&gt;=200000,Annexes!O8,ROUND(AB388*0.2,0))),IF(AB386&gt;=0.5,IF(AB385&lt;AB388*0.15,ROUND(AB385,0),IF(AB388*0.15&gt;=200000,Annexes!O8,ROUND(AB388*0.15,0))),IF(AND(AB380="OUI",OR(AB374&gt;=0.8,AB375&gt;=0.8,AB376&gt;=0.1),AB386&gt;=0.7),IF(AB385&lt;AB388*0.2,ROUND(AB385,0),IF(AB388*0.2&gt;=200000,Annexes!O8,ROUND(AB388*0.2,0))),0))),IF(AND(AB380="OUI",OR(AB374&gt;=0.8,AB375&gt;=0.8,AB376&gt;=0.1),AB386&gt;=0.7),IF(AB385&lt;AB388*0.2,ROUND(AB385,0),IF(AB388*0.2&gt;=200000,Annexes!O8,ROUND(AB388*0.2,0))),0)))),0)</f>
        <v>0</v>
      </c>
      <c r="AC400" s="1"/>
      <c r="AD400" s="1"/>
      <c r="AE400" s="13"/>
    </row>
    <row r="401" spans="2:31" ht="16.5" customHeight="1">
      <c r="B401" s="174"/>
      <c r="C401" s="335"/>
      <c r="D401" s="359" t="str">
        <f>IFERROR(IF('Mon Entreprise'!K8&gt;=Annexes!O20,IF(AB354&gt;=AB356,"- Le CA de référence est celui d'Avril 2019, soit une perte de "&amp;ROUND(AB354,0)&amp;" €"&amp;" ==&gt; "&amp;ROUND(AE354*100,0)&amp;" %","- Le CA de référence est celui de la création, soit une perte de "&amp;ROUND(AB356,0)&amp;" €"&amp;" ==&gt; "&amp;ROUND(AE356*100,0)&amp;" %"),IF(AB354&gt;=AB355,"- Le CA de référence est celui d'Avril 2019, soit une perte de "&amp;ROUND(AB354,0)&amp;" €"&amp;" ==&gt; "&amp;ROUND(AE354*100,0)&amp;" %","- Le CA de référence est celui de l'exercice 2019, soit une perte de "&amp;ROUND(AB355,0)&amp;" €"&amp;" ==&gt; "&amp;ROUND(AE355*100,0)&amp;" %")),"")</f>
        <v>- Le CA de référence est celui d'Avril 2019, soit une perte de 0 € ==&gt; 0 %</v>
      </c>
      <c r="E401" s="359"/>
      <c r="F401" s="359"/>
      <c r="G401" s="359"/>
      <c r="H401" s="359"/>
      <c r="I401" s="359"/>
      <c r="J401" s="359"/>
      <c r="K401" s="359"/>
      <c r="L401" s="359"/>
      <c r="M401" s="359"/>
      <c r="N401" s="359"/>
      <c r="O401" s="359"/>
      <c r="P401" s="328"/>
      <c r="Q401" s="328"/>
      <c r="T401" s="14"/>
      <c r="U401" s="1"/>
      <c r="V401" s="1"/>
      <c r="W401" s="1"/>
      <c r="X401" s="1"/>
      <c r="Y401" s="1"/>
      <c r="Z401" s="1"/>
      <c r="AA401" s="1"/>
      <c r="AB401" s="1"/>
      <c r="AC401" s="1"/>
      <c r="AD401" s="1"/>
      <c r="AE401" s="13"/>
    </row>
    <row r="402" spans="2:31" ht="16.5" customHeight="1">
      <c r="B402" s="174"/>
      <c r="C402" s="335"/>
      <c r="D402" s="466" t="str">
        <f>IFERROR(IF('Mon Entreprise'!K8&gt;=Annexes!O20,"",IF(AB354&lt;AB355,"A noter qu'il convient de choisir l'option retenue par l'entreprise lors de sa demande au titre du mois Février 2021,  ou a défaut celui du mois de Mars 2021, si le CA de référence était celui de février 2019, il convient"&amp;" de prendre celui d'Avril 2019 (...), soit "&amp;ROUND(AB354,0)&amp;" €"&amp;" ==&gt; "&amp;ROUND(AE354*100,0)&amp;" %","A noter qu'il convient de choisir l'option retenue par l'entreprise lors de sa demande au titre du mois Février 2021, "&amp;"ou a défaut celui du mois de Mars 2021, si le CA de référence était celui de l'exercice 2019, il convient de prendre celui de l'exercie 2019, soit une perte de "&amp;ROUND(AB355,0)&amp;" €"&amp;" ==&gt; "&amp;ROUND(AE355*100,0)&amp;" %")),"")</f>
        <v>A noter qu'il convient de choisir l'option retenue par l'entreprise lors de sa demande au titre du mois Février 2021, ou a défaut celui du mois de Mars 2021, si le CA de référence était celui de l'exercice 2019, il convient de prendre celui de l'exercie 2019, soit une perte de 0 € ==&gt; 0 %</v>
      </c>
      <c r="E402" s="466"/>
      <c r="F402" s="466"/>
      <c r="G402" s="466"/>
      <c r="H402" s="466"/>
      <c r="I402" s="466"/>
      <c r="J402" s="466"/>
      <c r="K402" s="466"/>
      <c r="L402" s="466"/>
      <c r="M402" s="466"/>
      <c r="N402" s="466"/>
      <c r="O402" s="466"/>
      <c r="P402" s="328"/>
      <c r="Q402" s="328"/>
      <c r="T402" s="14"/>
      <c r="U402" s="1"/>
      <c r="V402" s="1"/>
      <c r="W402" s="1"/>
      <c r="X402" s="1"/>
      <c r="Y402" s="1"/>
      <c r="Z402" s="1"/>
      <c r="AA402" s="1"/>
      <c r="AB402" s="1"/>
      <c r="AC402" s="1"/>
      <c r="AD402" s="1"/>
      <c r="AE402" s="13"/>
    </row>
    <row r="403" spans="2:31" ht="16.5" customHeight="1">
      <c r="B403" s="174"/>
      <c r="C403" s="335"/>
      <c r="D403" s="466"/>
      <c r="E403" s="466"/>
      <c r="F403" s="466"/>
      <c r="G403" s="466"/>
      <c r="H403" s="466"/>
      <c r="I403" s="466"/>
      <c r="J403" s="466"/>
      <c r="K403" s="466"/>
      <c r="L403" s="466"/>
      <c r="M403" s="466"/>
      <c r="N403" s="466"/>
      <c r="O403" s="466"/>
      <c r="P403" s="328"/>
      <c r="Q403" s="328"/>
      <c r="T403" s="14"/>
      <c r="U403" s="1"/>
      <c r="V403" s="1"/>
      <c r="W403" s="1"/>
      <c r="X403" s="1"/>
      <c r="Y403" s="1"/>
      <c r="Z403" s="1"/>
      <c r="AA403" s="1"/>
      <c r="AB403" s="1"/>
      <c r="AC403" s="1"/>
      <c r="AD403" s="1"/>
      <c r="AE403" s="13"/>
    </row>
    <row r="404" spans="2:31" ht="16.5" customHeight="1">
      <c r="B404" s="103"/>
      <c r="C404" s="335"/>
      <c r="D404" s="465" t="str">
        <f>IF(OR(AB381=TRUE,AND(AB382=TRUE,AB386&gt;=0.5)),"- L'entreprise peut bénéficier d'une aide de 20 % du CA de référence, plafonnée à 200 000 €",IF(OR(AB378="OUI",AND(AB379="OUI",OR(AB374&gt;=0.8,AB375&gt;=0.8,AB376&gt;=0.1))),IF(AB386&gt;=0.7,"- L'entreprise peut bénéficier d'une aide de 20 % du CA de référence, plafonnée à 200 000 €",IF(AB386&gt;=0.5,"- L'entreprise peut bénéficier d'une aide de 15 % du CA de référence, plafonnée à 200 000 €","- L'entreprise n'a subi ni de fermeture administrative avec une perte de 20 % de CA au mois d'Avril, ni de perte d'au moins 50 % de son CA")),IF(AND(AB380="OUI",OR(AB374&gt;=0.8,AB375&gt;=0.8,AB376&gt;=0.1),AB386&gt;=0.5),"- L'entreprise peut bénéficier d'une aide de 20 % du CA de référence, plafonnée à 200 000 €","- L'entreprise ne fait ni partie des fermetures administratives avec une perte de 20 % du CA au mois d'Avril, ni des activités mentionnées en annexe 1 (S1) ou en annexe 2 (S1 bis) ou Annexe 3 ou dans un centre commercial ayant une perte significative")))</f>
        <v>- L'entreprise ne fait ni partie des fermetures administratives avec une perte de 20 % du CA au mois d'Avril, ni des activités mentionnées en annexe 1 (S1) ou en annexe 2 (S1 bis) ou Annexe 3 ou dans un centre commercial ayant une perte significative</v>
      </c>
      <c r="E404" s="465"/>
      <c r="F404" s="465"/>
      <c r="G404" s="465"/>
      <c r="H404" s="465"/>
      <c r="I404" s="465"/>
      <c r="J404" s="465"/>
      <c r="K404" s="465"/>
      <c r="L404" s="465"/>
      <c r="M404" s="465"/>
      <c r="N404" s="465"/>
      <c r="O404" s="465"/>
      <c r="P404" s="328"/>
      <c r="Q404" s="328"/>
      <c r="T404" s="14"/>
      <c r="U404" s="1"/>
      <c r="V404" s="1"/>
      <c r="W404" s="1"/>
      <c r="X404" s="1"/>
      <c r="Y404" s="1"/>
      <c r="Z404" s="1"/>
      <c r="AA404" s="1"/>
      <c r="AB404" s="1"/>
      <c r="AC404" s="1"/>
      <c r="AD404" s="1"/>
      <c r="AE404" s="13"/>
    </row>
    <row r="405" spans="2:31" ht="16.5" customHeight="1">
      <c r="B405" s="169"/>
      <c r="C405" s="335"/>
      <c r="D405" s="465"/>
      <c r="E405" s="465"/>
      <c r="F405" s="465"/>
      <c r="G405" s="465"/>
      <c r="H405" s="465"/>
      <c r="I405" s="465"/>
      <c r="J405" s="465"/>
      <c r="K405" s="465"/>
      <c r="L405" s="465"/>
      <c r="M405" s="465"/>
      <c r="N405" s="465"/>
      <c r="O405" s="465"/>
      <c r="P405" s="328"/>
      <c r="Q405" s="328"/>
      <c r="T405" s="14"/>
      <c r="U405" s="1"/>
      <c r="V405" s="1"/>
      <c r="W405" s="1"/>
      <c r="X405" s="1"/>
      <c r="Y405" s="1"/>
      <c r="Z405" s="1"/>
      <c r="AA405" s="1"/>
      <c r="AB405" s="1"/>
      <c r="AC405" s="1"/>
      <c r="AD405" s="1"/>
      <c r="AE405" s="13"/>
    </row>
    <row r="406" spans="2:31" ht="16.5" customHeight="1" thickBot="1">
      <c r="B406" s="169"/>
      <c r="C406" s="335"/>
      <c r="D406" s="206"/>
      <c r="E406" s="328"/>
      <c r="F406" s="328"/>
      <c r="G406" s="328"/>
      <c r="H406" s="328"/>
      <c r="I406" s="328"/>
      <c r="J406" s="328"/>
      <c r="K406" s="328"/>
      <c r="L406" s="328"/>
      <c r="M406" s="328"/>
      <c r="N406" s="328"/>
      <c r="O406" s="328"/>
      <c r="P406" s="328"/>
      <c r="Q406" s="328"/>
      <c r="T406" s="14"/>
      <c r="U406" s="1"/>
      <c r="V406" s="1"/>
      <c r="W406" s="1"/>
      <c r="X406" s="1"/>
      <c r="Y406" s="1"/>
      <c r="Z406" s="1"/>
      <c r="AA406" s="1"/>
      <c r="AB406" s="1"/>
      <c r="AC406" s="1"/>
      <c r="AD406" s="1"/>
      <c r="AE406" s="13"/>
    </row>
    <row r="407" spans="2:31" ht="16.5" customHeight="1">
      <c r="B407" s="103"/>
      <c r="C407" s="181"/>
      <c r="D407" s="468" t="str">
        <f>IFERROR(IF(AB384="NON","Vous avez débuté votre activité après le 31 Janvier 2020, vous ne pouvez donc pas bénéficier de cette aide",IF(OR(AB381=TRUE,AND(AB382=TRUE,AB386&gt;=0.5)),IF(AB388=0,"Vous n'avez pas indiqué de chiffre d'affaires de référence",IF(AB385&lt;AB388*0.2,"Dans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d'Avril"))),IF(OR(AB378="OUI",AND(AB379="OUI",OR(AB374&gt;=0.8,AB375&gt;=0.8,AB376&gt;=0.1))),IF(AB386&gt;=0.7,IF(AB385&lt;AB388*0.2,"Dans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d'Avril")),IF(AB386&gt;=0.5,IF(AB385&lt;AB388*0.15,"Dans votre cas, la perte est inférieure à 15 % du CA, l'aide est donc plafonnée à la perte, soit "&amp;ROUND(AB385,0)&amp;" € pour le mois d'Avril",IF(AB388*0.15&gt;=200000,"Dans votre cas, l'aide est plafonnée, à "&amp;Annexes!O8&amp;" € pour le mois d'Avril","Vous pouvez bénéficier, au titre de cette aide, d'un montant de "&amp;ROUND(AB388*0.15,0)&amp;" € pour le mois d'Avril")),IF(AND(AB380="OUI",OR(AB374&gt;=0.8,AB375&gt;=0.8,AB376&gt;=0.1),AB386&gt;=0.7),IF(AB385&lt;AB388*0.2,"Dans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au mois d'Avril, ni des activités mentionnées en annexe 1 (S1) avec 50 % de perte en Avril ou en annexe 2 (S1 bis) ou 3 ou dans un centre commercial avec 70 % de Perte en Avril"))),IF(AND(AB380="OUI",OR(AB374&gt;=0.8,AB375&gt;=0.8,AB376&gt;=0.1),AB386&gt;=0.7),IF(AB385&lt;AB388*0.2,"Dans votre cas, la perte est inférieure à 20 % du CA, l'aide est donc plafonnée à la perte, soit "&amp;ROUND(AB385,0)&amp;" € pour le mois d'Avril",IF(AB388*0.2&gt;=200000,"Dans votre cas, l'aide est plafonnée, à "&amp;Annexes!O8&amp;" € pour le mois d'Avril","Vous pouvez bénéficier, au titre de cette aide, d'un montant de "&amp;ROUND(AB388*0.2,0)&amp;" € pour le mois d'Avril")),"L'entreprise ne fait ni partie des fermetures administratives avec 20 % de perte au mois d'Avril, ni des activités mentionnées en annexe 1 (S1)"&amp;" ou en annexe 2 (S1 bis) avec 50 % de perte en Avril ou 3 ou dans un centre commercial avec 70 % de Perte en Avril")))),"Vous n'avez pas indiqué de chiffre d'affaires de référence")</f>
        <v>L'entreprise ne fait ni partie des fermetures administratives avec 20 % de perte au mois d'Avril, ni des activités mentionnées en annexe 1 (S1) ou en annexe 2 (S1 bis) avec 50 % de perte en Avril ou 3 ou dans un centre commercial avec 70 % de Perte en Avril</v>
      </c>
      <c r="E407" s="451"/>
      <c r="F407" s="451"/>
      <c r="G407" s="451"/>
      <c r="H407" s="451"/>
      <c r="I407" s="451"/>
      <c r="J407" s="451"/>
      <c r="K407" s="451"/>
      <c r="L407" s="451"/>
      <c r="M407" s="451"/>
      <c r="N407" s="451"/>
      <c r="O407" s="452"/>
      <c r="P407" s="328"/>
      <c r="Q407" s="328"/>
      <c r="T407" s="14"/>
      <c r="U407" s="1"/>
      <c r="V407" s="1"/>
      <c r="W407" s="1"/>
      <c r="X407" s="1"/>
      <c r="Y407" s="1"/>
      <c r="Z407" s="1"/>
      <c r="AA407" s="1"/>
      <c r="AB407" s="1"/>
      <c r="AC407" s="1"/>
      <c r="AD407" s="1"/>
      <c r="AE407" s="13"/>
    </row>
    <row r="408" spans="2:31" ht="16.5" customHeight="1">
      <c r="B408" s="103"/>
      <c r="C408" s="181"/>
      <c r="D408" s="453"/>
      <c r="E408" s="454"/>
      <c r="F408" s="454"/>
      <c r="G408" s="454"/>
      <c r="H408" s="454"/>
      <c r="I408" s="454"/>
      <c r="J408" s="454"/>
      <c r="K408" s="454"/>
      <c r="L408" s="454"/>
      <c r="M408" s="454"/>
      <c r="N408" s="454"/>
      <c r="O408" s="455"/>
      <c r="P408" s="328"/>
      <c r="Q408" s="328"/>
      <c r="T408" s="14"/>
      <c r="U408" s="1"/>
      <c r="V408" s="1"/>
      <c r="W408" s="1"/>
      <c r="X408" s="1"/>
      <c r="Y408" s="1"/>
      <c r="Z408" s="1"/>
      <c r="AA408" s="1"/>
      <c r="AB408" s="1"/>
      <c r="AC408" s="1"/>
      <c r="AD408" s="1"/>
      <c r="AE408" s="13"/>
    </row>
    <row r="409" spans="2:31" ht="16.5" customHeight="1">
      <c r="B409" s="103"/>
      <c r="C409" s="181"/>
      <c r="D409" s="453"/>
      <c r="E409" s="454"/>
      <c r="F409" s="454"/>
      <c r="G409" s="454"/>
      <c r="H409" s="454"/>
      <c r="I409" s="454"/>
      <c r="J409" s="454"/>
      <c r="K409" s="454"/>
      <c r="L409" s="454"/>
      <c r="M409" s="454"/>
      <c r="N409" s="454"/>
      <c r="O409" s="455"/>
      <c r="P409" s="176"/>
      <c r="Q409" s="176"/>
      <c r="T409" s="14"/>
      <c r="U409" s="1"/>
      <c r="V409" s="1"/>
      <c r="W409" s="1"/>
      <c r="X409" s="1"/>
      <c r="Y409" s="1"/>
      <c r="Z409" s="1"/>
      <c r="AA409" s="1"/>
      <c r="AB409" s="1"/>
      <c r="AC409" s="1"/>
      <c r="AD409" s="1"/>
      <c r="AE409" s="13"/>
    </row>
    <row r="410" spans="2:31" ht="16.5" customHeight="1" thickBot="1">
      <c r="B410" s="103"/>
      <c r="C410" s="181"/>
      <c r="D410" s="456"/>
      <c r="E410" s="457"/>
      <c r="F410" s="457"/>
      <c r="G410" s="457"/>
      <c r="H410" s="457"/>
      <c r="I410" s="457"/>
      <c r="J410" s="457"/>
      <c r="K410" s="457"/>
      <c r="L410" s="457"/>
      <c r="M410" s="457"/>
      <c r="N410" s="457"/>
      <c r="O410" s="458"/>
      <c r="T410" s="14"/>
      <c r="U410" s="1"/>
      <c r="V410" s="1"/>
      <c r="W410" s="1"/>
      <c r="X410" s="1"/>
      <c r="Y410" s="1"/>
      <c r="Z410" s="1"/>
      <c r="AA410" s="1"/>
      <c r="AB410" s="1"/>
      <c r="AC410" s="1"/>
      <c r="AD410" s="1"/>
      <c r="AE410" s="13"/>
    </row>
    <row r="411" spans="2:31" ht="16.5" customHeight="1">
      <c r="B411" s="5"/>
      <c r="C411" s="5"/>
      <c r="D411" s="340"/>
      <c r="E411" s="340"/>
      <c r="F411" s="340"/>
      <c r="G411" s="340"/>
      <c r="H411" s="340"/>
      <c r="I411" s="340"/>
      <c r="J411" s="340"/>
      <c r="K411" s="340"/>
      <c r="L411" s="340"/>
      <c r="M411" s="340"/>
      <c r="N411" s="340"/>
      <c r="O411" s="340"/>
      <c r="P411" s="178"/>
      <c r="Q411" s="178"/>
      <c r="T411" s="14"/>
      <c r="U411" s="1"/>
      <c r="V411" s="1"/>
      <c r="W411" s="1"/>
      <c r="X411" s="1"/>
      <c r="Y411" s="1"/>
      <c r="Z411" s="1"/>
      <c r="AA411" s="1"/>
      <c r="AB411" s="1"/>
      <c r="AC411" s="1"/>
      <c r="AD411" s="1"/>
      <c r="AE411" s="13"/>
    </row>
    <row r="412" spans="2:31">
      <c r="B412" s="5"/>
      <c r="C412" s="5"/>
      <c r="D412" s="340"/>
      <c r="E412" s="340"/>
      <c r="F412" s="340"/>
      <c r="G412" s="340"/>
      <c r="H412" s="340"/>
      <c r="I412" s="340"/>
      <c r="J412" s="340"/>
      <c r="K412" s="340"/>
      <c r="L412" s="340"/>
      <c r="M412" s="340"/>
      <c r="N412" s="340"/>
      <c r="O412" s="340"/>
      <c r="P412" s="178"/>
      <c r="Q412" s="178"/>
      <c r="T412" s="14"/>
      <c r="U412" s="1"/>
      <c r="V412" s="1"/>
      <c r="W412" s="1"/>
      <c r="X412" s="1"/>
      <c r="Y412" s="1"/>
      <c r="Z412" s="1"/>
      <c r="AA412" s="1"/>
      <c r="AB412" s="1"/>
      <c r="AC412" s="1"/>
      <c r="AD412" s="1"/>
      <c r="AE412" s="13"/>
    </row>
    <row r="413" spans="2:31">
      <c r="D413" s="178"/>
      <c r="E413" s="178"/>
      <c r="F413" s="178"/>
      <c r="G413" s="178"/>
      <c r="H413" s="178"/>
      <c r="I413" s="178"/>
      <c r="J413" s="178"/>
      <c r="K413" s="178"/>
      <c r="L413" s="178"/>
      <c r="M413" s="178"/>
      <c r="N413" s="178"/>
      <c r="O413" s="178"/>
      <c r="P413" s="176"/>
      <c r="Q413" s="176"/>
      <c r="T413" s="14"/>
      <c r="U413" s="1"/>
      <c r="V413" s="1"/>
      <c r="W413" s="1"/>
      <c r="X413" s="1"/>
      <c r="Y413" s="1"/>
      <c r="Z413" s="1"/>
      <c r="AA413" s="1"/>
      <c r="AB413" s="1"/>
      <c r="AC413" s="1"/>
      <c r="AD413" s="1"/>
      <c r="AE413" s="13"/>
    </row>
    <row r="414" spans="2:31">
      <c r="D414" s="178"/>
      <c r="E414" s="178"/>
      <c r="F414" s="178"/>
      <c r="G414" s="178"/>
      <c r="H414" s="178"/>
      <c r="I414" s="178"/>
      <c r="J414" s="178"/>
      <c r="K414" s="178"/>
      <c r="L414" s="178"/>
      <c r="M414" s="178"/>
      <c r="N414" s="178"/>
      <c r="O414" s="178"/>
      <c r="P414" s="176"/>
      <c r="Q414" s="176"/>
      <c r="T414" s="14"/>
      <c r="U414" s="1"/>
      <c r="V414" s="1"/>
      <c r="W414" s="1"/>
      <c r="X414" s="1"/>
      <c r="Y414" s="1"/>
      <c r="Z414" s="1"/>
      <c r="AA414" s="1"/>
      <c r="AB414" s="1"/>
      <c r="AC414" s="1"/>
      <c r="AD414" s="1"/>
      <c r="AE414" s="13"/>
    </row>
    <row r="415" spans="2:31">
      <c r="B415" s="5"/>
      <c r="C415" s="5"/>
      <c r="D415" s="340"/>
      <c r="E415" s="340"/>
      <c r="F415" s="340"/>
      <c r="G415" s="340"/>
      <c r="H415" s="340"/>
      <c r="I415" s="340"/>
      <c r="J415" s="340"/>
      <c r="K415" s="340"/>
      <c r="L415" s="340"/>
      <c r="M415" s="340"/>
      <c r="N415" s="340"/>
      <c r="O415" s="340"/>
      <c r="P415" s="178"/>
      <c r="Q415" s="178"/>
      <c r="T415" s="14"/>
      <c r="U415" s="1"/>
      <c r="V415" s="1"/>
      <c r="W415" s="1"/>
      <c r="X415" s="1"/>
      <c r="Y415" s="1"/>
      <c r="Z415" s="1"/>
      <c r="AA415" s="1"/>
      <c r="AB415" s="1"/>
      <c r="AC415" s="1"/>
      <c r="AD415" s="1"/>
      <c r="AE415" s="13"/>
    </row>
    <row r="416" spans="2:31">
      <c r="D416" s="178"/>
      <c r="E416" s="178"/>
      <c r="F416" s="178"/>
      <c r="G416" s="178"/>
      <c r="H416" s="178"/>
      <c r="I416" s="178"/>
      <c r="J416" s="178"/>
      <c r="K416" s="178"/>
      <c r="L416" s="178"/>
      <c r="M416" s="178"/>
      <c r="N416" s="178"/>
      <c r="O416" s="178"/>
      <c r="P416" s="176"/>
      <c r="Q416" s="176"/>
      <c r="T416" s="14"/>
      <c r="U416" s="1"/>
      <c r="V416" s="1"/>
      <c r="W416" s="1"/>
      <c r="X416" s="1"/>
      <c r="Y416" s="1"/>
      <c r="Z416" s="1"/>
      <c r="AA416" s="1"/>
      <c r="AB416" s="1"/>
      <c r="AC416" s="1"/>
      <c r="AD416" s="1"/>
      <c r="AE416" s="13"/>
    </row>
    <row r="417" spans="2:31">
      <c r="D417" s="178"/>
      <c r="E417" s="178"/>
      <c r="F417" s="178"/>
      <c r="G417" s="178"/>
      <c r="H417" s="178"/>
      <c r="I417" s="178"/>
      <c r="J417" s="178"/>
      <c r="K417" s="178"/>
      <c r="L417" s="178"/>
      <c r="M417" s="178"/>
      <c r="N417" s="178"/>
      <c r="O417" s="178"/>
      <c r="P417" s="176"/>
      <c r="Q417" s="176"/>
      <c r="T417" s="14"/>
      <c r="U417" s="1"/>
      <c r="V417" s="1"/>
      <c r="W417" s="1"/>
      <c r="X417" s="1"/>
      <c r="Y417" s="1"/>
      <c r="Z417" s="1"/>
      <c r="AA417" s="1"/>
      <c r="AB417" s="1"/>
      <c r="AC417" s="1"/>
      <c r="AD417" s="1"/>
      <c r="AE417" s="13"/>
    </row>
    <row r="418" spans="2:31">
      <c r="B418" s="326" t="s">
        <v>69</v>
      </c>
      <c r="C418" s="326"/>
      <c r="D418" s="176"/>
      <c r="E418" s="176"/>
      <c r="F418" s="176"/>
      <c r="G418" s="176"/>
      <c r="H418" s="176"/>
      <c r="I418" s="176"/>
      <c r="J418" s="176"/>
      <c r="K418" s="176"/>
      <c r="L418" s="176"/>
      <c r="M418" s="176"/>
      <c r="N418" s="176"/>
      <c r="O418" s="176"/>
      <c r="P418" s="1"/>
      <c r="Q418" s="1"/>
      <c r="T418" s="15"/>
      <c r="U418" s="10"/>
      <c r="V418" s="10"/>
      <c r="W418" s="10"/>
      <c r="X418" s="10"/>
      <c r="Y418" s="10"/>
      <c r="Z418" s="10"/>
      <c r="AA418" s="10"/>
      <c r="AB418" s="10"/>
      <c r="AC418" s="10"/>
      <c r="AD418" s="10"/>
      <c r="AE418" s="4"/>
    </row>
    <row r="419" spans="2:31">
      <c r="M419" s="3"/>
      <c r="O419" s="1"/>
      <c r="Q419" s="1"/>
      <c r="R419" s="1"/>
      <c r="S419" s="1"/>
    </row>
    <row r="420" spans="2:31">
      <c r="O420" s="1"/>
      <c r="Q420" s="1"/>
      <c r="R420" s="1"/>
      <c r="S420" s="1"/>
    </row>
    <row r="421" spans="2:31">
      <c r="B421" s="5"/>
      <c r="C421" s="5"/>
      <c r="D421" s="5"/>
      <c r="Q421" s="1"/>
      <c r="R421" s="1"/>
      <c r="S421" s="1"/>
    </row>
    <row r="422" spans="2:31">
      <c r="R422" s="1"/>
      <c r="S422" s="1"/>
    </row>
    <row r="423" spans="2:31">
      <c r="R423" s="1"/>
      <c r="S423" s="1"/>
    </row>
  </sheetData>
  <sheetProtection password="E733" sheet="1" selectLockedCells="1" selectUnlockedCells="1"/>
  <mergeCells count="280">
    <mergeCell ref="U214:Y214"/>
    <mergeCell ref="U215:Y215"/>
    <mergeCell ref="U216:Y216"/>
    <mergeCell ref="C214:O216"/>
    <mergeCell ref="E217:O218"/>
    <mergeCell ref="U207:Y207"/>
    <mergeCell ref="U208:Y208"/>
    <mergeCell ref="C200:O202"/>
    <mergeCell ref="T201:Y201"/>
    <mergeCell ref="U202:Y202"/>
    <mergeCell ref="E203:O204"/>
    <mergeCell ref="U203:Y203"/>
    <mergeCell ref="U204:Y204"/>
    <mergeCell ref="D205:O205"/>
    <mergeCell ref="U205:Y205"/>
    <mergeCell ref="U206:Y206"/>
    <mergeCell ref="D208:O211"/>
    <mergeCell ref="U210:Y210"/>
    <mergeCell ref="U198:Y198"/>
    <mergeCell ref="U199:Y199"/>
    <mergeCell ref="D183:O187"/>
    <mergeCell ref="U187:Y187"/>
    <mergeCell ref="V188:Y188"/>
    <mergeCell ref="U189:Y189"/>
    <mergeCell ref="U190:Y190"/>
    <mergeCell ref="D194:O197"/>
    <mergeCell ref="T196:Y196"/>
    <mergeCell ref="U197:Y197"/>
    <mergeCell ref="T24:W24"/>
    <mergeCell ref="T25:W25"/>
    <mergeCell ref="T26:W26"/>
    <mergeCell ref="F3:O6"/>
    <mergeCell ref="B8:O8"/>
    <mergeCell ref="B9:O10"/>
    <mergeCell ref="B11:O11"/>
    <mergeCell ref="B13:O13"/>
    <mergeCell ref="D29:O33"/>
    <mergeCell ref="U29:Y29"/>
    <mergeCell ref="U30:Y30"/>
    <mergeCell ref="U31:Y31"/>
    <mergeCell ref="U32:Y32"/>
    <mergeCell ref="T13:AE20"/>
    <mergeCell ref="B16:O17"/>
    <mergeCell ref="C20:H20"/>
    <mergeCell ref="C23:I23"/>
    <mergeCell ref="U23:W23"/>
    <mergeCell ref="T77:W77"/>
    <mergeCell ref="T78:W78"/>
    <mergeCell ref="T79:W79"/>
    <mergeCell ref="U54:Y54"/>
    <mergeCell ref="C37:H37"/>
    <mergeCell ref="U40:W40"/>
    <mergeCell ref="D42:O46"/>
    <mergeCell ref="T42:W42"/>
    <mergeCell ref="T43:W43"/>
    <mergeCell ref="T44:W44"/>
    <mergeCell ref="T46:Y46"/>
    <mergeCell ref="U51:Y51"/>
    <mergeCell ref="U49:Y49"/>
    <mergeCell ref="U50:Y50"/>
    <mergeCell ref="U47:Y47"/>
    <mergeCell ref="U55:Y55"/>
    <mergeCell ref="U48:Y48"/>
    <mergeCell ref="C49:O50"/>
    <mergeCell ref="D52:O53"/>
    <mergeCell ref="U52:Y52"/>
    <mergeCell ref="U53:Y53"/>
    <mergeCell ref="D56:O59"/>
    <mergeCell ref="U60:Y60"/>
    <mergeCell ref="U61:Y61"/>
    <mergeCell ref="U62:Y62"/>
    <mergeCell ref="U56:Y56"/>
    <mergeCell ref="C62:O63"/>
    <mergeCell ref="D64:O65"/>
    <mergeCell ref="D69:O72"/>
    <mergeCell ref="U76:W76"/>
    <mergeCell ref="E110:O111"/>
    <mergeCell ref="U110:Y110"/>
    <mergeCell ref="U111:Y111"/>
    <mergeCell ref="D80:O83"/>
    <mergeCell ref="U82:Y82"/>
    <mergeCell ref="U83:Y83"/>
    <mergeCell ref="U84:Y84"/>
    <mergeCell ref="U85:Y85"/>
    <mergeCell ref="C87:H87"/>
    <mergeCell ref="C89:O89"/>
    <mergeCell ref="D92:O96"/>
    <mergeCell ref="U92:W92"/>
    <mergeCell ref="T94:W94"/>
    <mergeCell ref="T95:W95"/>
    <mergeCell ref="T96:W96"/>
    <mergeCell ref="U99:Y99"/>
    <mergeCell ref="U100:Y100"/>
    <mergeCell ref="U101:Y101"/>
    <mergeCell ref="U134:Y134"/>
    <mergeCell ref="V135:Y135"/>
    <mergeCell ref="U136:Y136"/>
    <mergeCell ref="U137:Y137"/>
    <mergeCell ref="D138:O141"/>
    <mergeCell ref="T143:Y143"/>
    <mergeCell ref="C144:O146"/>
    <mergeCell ref="U144:Y144"/>
    <mergeCell ref="U145:Y145"/>
    <mergeCell ref="U146:Y146"/>
    <mergeCell ref="D167:O170"/>
    <mergeCell ref="D171:O171"/>
    <mergeCell ref="B174:O175"/>
    <mergeCell ref="U177:W177"/>
    <mergeCell ref="C178:H178"/>
    <mergeCell ref="T179:W179"/>
    <mergeCell ref="C180:O180"/>
    <mergeCell ref="T180:W180"/>
    <mergeCell ref="T181:W181"/>
    <mergeCell ref="D102:O105"/>
    <mergeCell ref="T106:Y106"/>
    <mergeCell ref="U107:Y107"/>
    <mergeCell ref="C108:O109"/>
    <mergeCell ref="U109:Y109"/>
    <mergeCell ref="U104:Y104"/>
    <mergeCell ref="U108:Y108"/>
    <mergeCell ref="U112:Y112"/>
    <mergeCell ref="D115:O118"/>
    <mergeCell ref="U113:Y113"/>
    <mergeCell ref="U114:Y114"/>
    <mergeCell ref="C122:H122"/>
    <mergeCell ref="C124:O124"/>
    <mergeCell ref="U124:W124"/>
    <mergeCell ref="T126:W126"/>
    <mergeCell ref="D127:O131"/>
    <mergeCell ref="T127:W127"/>
    <mergeCell ref="T128:W128"/>
    <mergeCell ref="U115:Y115"/>
    <mergeCell ref="U118:Y118"/>
    <mergeCell ref="U117:Y117"/>
    <mergeCell ref="U148:Y148"/>
    <mergeCell ref="D149:O149"/>
    <mergeCell ref="D152:O155"/>
    <mergeCell ref="C158:O160"/>
    <mergeCell ref="U160:Y160"/>
    <mergeCell ref="E161:O162"/>
    <mergeCell ref="U162:Y162"/>
    <mergeCell ref="D163:O163"/>
    <mergeCell ref="D164:O165"/>
    <mergeCell ref="U161:Y161"/>
    <mergeCell ref="U154:Y154"/>
    <mergeCell ref="U156:Y156"/>
    <mergeCell ref="U149:Y149"/>
    <mergeCell ref="U150:Y150"/>
    <mergeCell ref="U151:Y151"/>
    <mergeCell ref="U152:Y152"/>
    <mergeCell ref="U153:Y153"/>
    <mergeCell ref="E147:O148"/>
    <mergeCell ref="U147:Y147"/>
    <mergeCell ref="D219:O219"/>
    <mergeCell ref="D220:O221"/>
    <mergeCell ref="D223:O226"/>
    <mergeCell ref="C230:H230"/>
    <mergeCell ref="U231:W231"/>
    <mergeCell ref="C232:O232"/>
    <mergeCell ref="T233:W233"/>
    <mergeCell ref="T234:W234"/>
    <mergeCell ref="D235:O239"/>
    <mergeCell ref="T235:W235"/>
    <mergeCell ref="U241:Y241"/>
    <mergeCell ref="V242:Y242"/>
    <mergeCell ref="U243:Y243"/>
    <mergeCell ref="U244:Y244"/>
    <mergeCell ref="D246:O249"/>
    <mergeCell ref="D250:O250"/>
    <mergeCell ref="T250:Y250"/>
    <mergeCell ref="U252:Y252"/>
    <mergeCell ref="U251:Y251"/>
    <mergeCell ref="C252:O255"/>
    <mergeCell ref="U254:Y254"/>
    <mergeCell ref="C268:O271"/>
    <mergeCell ref="U271:Y271"/>
    <mergeCell ref="E272:O274"/>
    <mergeCell ref="D275:O275"/>
    <mergeCell ref="D276:O277"/>
    <mergeCell ref="D279:O282"/>
    <mergeCell ref="U258:Y258"/>
    <mergeCell ref="U259:Y259"/>
    <mergeCell ref="U260:Y260"/>
    <mergeCell ref="U261:Y261"/>
    <mergeCell ref="U262:Y262"/>
    <mergeCell ref="U263:Y263"/>
    <mergeCell ref="U264:Y264"/>
    <mergeCell ref="E256:O258"/>
    <mergeCell ref="T256:Y256"/>
    <mergeCell ref="U257:Y257"/>
    <mergeCell ref="D259:O259"/>
    <mergeCell ref="D262:O265"/>
    <mergeCell ref="U266:Y266"/>
    <mergeCell ref="D119:O120"/>
    <mergeCell ref="U324:Y324"/>
    <mergeCell ref="U325:Y325"/>
    <mergeCell ref="U335:Y335"/>
    <mergeCell ref="U336:Y336"/>
    <mergeCell ref="U318:Y318"/>
    <mergeCell ref="U321:Y321"/>
    <mergeCell ref="U322:Y322"/>
    <mergeCell ref="U323:Y323"/>
    <mergeCell ref="U304:Y304"/>
    <mergeCell ref="U312:Y312"/>
    <mergeCell ref="D306:O309"/>
    <mergeCell ref="D310:O310"/>
    <mergeCell ref="T310:Y310"/>
    <mergeCell ref="U311:Y311"/>
    <mergeCell ref="C312:O315"/>
    <mergeCell ref="U314:Y314"/>
    <mergeCell ref="E316:O318"/>
    <mergeCell ref="T316:Y316"/>
    <mergeCell ref="U317:Y317"/>
    <mergeCell ref="T291:W291"/>
    <mergeCell ref="T292:W292"/>
    <mergeCell ref="U272:Y272"/>
    <mergeCell ref="U273:Y273"/>
    <mergeCell ref="C286:H286"/>
    <mergeCell ref="C288:O288"/>
    <mergeCell ref="U288:W288"/>
    <mergeCell ref="T290:W290"/>
    <mergeCell ref="D291:O296"/>
    <mergeCell ref="U301:Y301"/>
    <mergeCell ref="V302:Y302"/>
    <mergeCell ref="D303:O304"/>
    <mergeCell ref="U303:Y303"/>
    <mergeCell ref="D319:O319"/>
    <mergeCell ref="D320:O321"/>
    <mergeCell ref="U320:Y320"/>
    <mergeCell ref="D324:O327"/>
    <mergeCell ref="U327:Y327"/>
    <mergeCell ref="C330:O333"/>
    <mergeCell ref="E334:O336"/>
    <mergeCell ref="U334:Y334"/>
    <mergeCell ref="D337:O337"/>
    <mergeCell ref="D338:O339"/>
    <mergeCell ref="D340:O341"/>
    <mergeCell ref="D343:O346"/>
    <mergeCell ref="C350:H350"/>
    <mergeCell ref="C352:O352"/>
    <mergeCell ref="U352:W352"/>
    <mergeCell ref="T354:W354"/>
    <mergeCell ref="D355:O360"/>
    <mergeCell ref="T355:W355"/>
    <mergeCell ref="T356:W356"/>
    <mergeCell ref="U365:Y365"/>
    <mergeCell ref="V366:Y366"/>
    <mergeCell ref="D367:O368"/>
    <mergeCell ref="U367:Y367"/>
    <mergeCell ref="U368:Y368"/>
    <mergeCell ref="D370:O373"/>
    <mergeCell ref="D374:O374"/>
    <mergeCell ref="T374:Y374"/>
    <mergeCell ref="U375:Y375"/>
    <mergeCell ref="C376:O379"/>
    <mergeCell ref="U376:Y376"/>
    <mergeCell ref="U378:Y378"/>
    <mergeCell ref="E380:O382"/>
    <mergeCell ref="T380:Y380"/>
    <mergeCell ref="U381:Y381"/>
    <mergeCell ref="U382:Y382"/>
    <mergeCell ref="D383:O383"/>
    <mergeCell ref="D384:O385"/>
    <mergeCell ref="U384:Y384"/>
    <mergeCell ref="U385:Y385"/>
    <mergeCell ref="D401:O401"/>
    <mergeCell ref="D402:O403"/>
    <mergeCell ref="D404:O405"/>
    <mergeCell ref="D407:O410"/>
    <mergeCell ref="U386:Y386"/>
    <mergeCell ref="U387:Y387"/>
    <mergeCell ref="D388:O391"/>
    <mergeCell ref="U388:Y388"/>
    <mergeCell ref="U389:Y389"/>
    <mergeCell ref="U391:Y391"/>
    <mergeCell ref="C394:O397"/>
    <mergeCell ref="E398:O400"/>
    <mergeCell ref="U398:Y398"/>
    <mergeCell ref="U399:Y399"/>
    <mergeCell ref="U400:Y400"/>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D4174"/>
  </sheetPr>
  <dimension ref="B1:AD140"/>
  <sheetViews>
    <sheetView showGridLines="0" workbookViewId="0">
      <selection activeCell="G16" sqref="G16"/>
    </sheetView>
  </sheetViews>
  <sheetFormatPr baseColWidth="10" defaultColWidth="9.140625" defaultRowHeight="15"/>
  <cols>
    <col min="2" max="2" width="2.7109375" customWidth="1"/>
    <col min="3" max="3" width="7.7109375" customWidth="1"/>
    <col min="4" max="4" width="13.7109375" customWidth="1"/>
    <col min="5" max="6" width="2.7109375" customWidth="1"/>
    <col min="11" max="13" width="9.140625" customWidth="1"/>
    <col min="15" max="15" width="10.140625" customWidth="1"/>
    <col min="16" max="22" width="9.140625" customWidth="1"/>
    <col min="23" max="23" width="9.5703125" bestFit="1" customWidth="1"/>
    <col min="27" max="27" width="9.140625" hidden="1" customWidth="1"/>
    <col min="28" max="29" width="15.28515625" hidden="1" customWidth="1"/>
    <col min="30" max="30" width="9.140625" hidden="1" customWidth="1"/>
  </cols>
  <sheetData>
    <row r="1" spans="3:23" ht="15.75" thickBot="1">
      <c r="D1" s="40"/>
      <c r="E1" s="40"/>
      <c r="F1" s="40"/>
      <c r="G1" s="40"/>
      <c r="H1" s="40"/>
      <c r="I1" s="40"/>
      <c r="J1" s="40"/>
      <c r="K1" s="40"/>
      <c r="L1" s="40"/>
      <c r="M1" s="40"/>
      <c r="N1" s="40"/>
      <c r="O1" s="40"/>
      <c r="P1" s="40"/>
      <c r="Q1" s="40"/>
    </row>
    <row r="2" spans="3:23" ht="15" customHeight="1">
      <c r="D2" s="40"/>
      <c r="E2" s="40"/>
      <c r="F2" s="40"/>
      <c r="G2" s="40"/>
      <c r="H2" s="40"/>
      <c r="I2" s="384" t="s">
        <v>14</v>
      </c>
      <c r="J2" s="385"/>
      <c r="K2" s="386"/>
      <c r="L2" s="533" t="str">
        <f>IF('Mon Entreprise'!$K$2="","",'Mon Entreprise'!$K$2)</f>
        <v/>
      </c>
      <c r="M2" s="534"/>
      <c r="N2" s="534"/>
      <c r="O2" s="534"/>
      <c r="P2" s="534"/>
      <c r="Q2" s="535"/>
    </row>
    <row r="3" spans="3:23" ht="15" customHeight="1">
      <c r="D3" s="40"/>
      <c r="E3" s="40"/>
      <c r="F3" s="40"/>
      <c r="G3" s="40"/>
      <c r="H3" s="40"/>
      <c r="I3" s="387"/>
      <c r="J3" s="388"/>
      <c r="K3" s="389"/>
      <c r="L3" s="536"/>
      <c r="M3" s="537"/>
      <c r="N3" s="537"/>
      <c r="O3" s="537"/>
      <c r="P3" s="537"/>
      <c r="Q3" s="538"/>
    </row>
    <row r="4" spans="3:23" ht="15" customHeight="1" thickBot="1">
      <c r="D4" s="40"/>
      <c r="E4" s="40"/>
      <c r="F4" s="40"/>
      <c r="G4" s="40"/>
      <c r="H4" s="40"/>
      <c r="I4" s="390"/>
      <c r="J4" s="391"/>
      <c r="K4" s="392"/>
      <c r="L4" s="539"/>
      <c r="M4" s="540"/>
      <c r="N4" s="540"/>
      <c r="O4" s="540"/>
      <c r="P4" s="540"/>
      <c r="Q4" s="541"/>
    </row>
    <row r="5" spans="3:23" ht="15" customHeight="1" thickBot="1">
      <c r="D5" s="40"/>
      <c r="E5" s="40"/>
      <c r="F5" s="40"/>
      <c r="G5" s="40"/>
      <c r="H5" s="40"/>
      <c r="I5" s="41"/>
      <c r="J5" s="41"/>
      <c r="K5" s="41"/>
      <c r="L5" s="42"/>
      <c r="M5" s="42"/>
      <c r="N5" s="42"/>
      <c r="O5" s="42"/>
      <c r="P5" s="42"/>
      <c r="Q5" s="42"/>
    </row>
    <row r="6" spans="3:23" ht="15" customHeight="1" thickBot="1">
      <c r="D6" s="40"/>
      <c r="E6" s="40"/>
      <c r="F6" s="40"/>
      <c r="G6" s="40"/>
      <c r="H6" s="40"/>
      <c r="I6" s="542" t="s">
        <v>55</v>
      </c>
      <c r="J6" s="543"/>
      <c r="K6" s="544"/>
      <c r="L6" s="531" t="str">
        <f>IF('Mon Entreprise'!$K$6="","",'Mon Entreprise'!$K$6)</f>
        <v/>
      </c>
      <c r="M6" s="545"/>
      <c r="N6" s="545"/>
      <c r="O6" s="545"/>
      <c r="P6" s="545"/>
      <c r="Q6" s="546"/>
    </row>
    <row r="7" spans="3:23" ht="15.75" thickBot="1">
      <c r="D7" s="40"/>
      <c r="E7" s="40"/>
      <c r="F7" s="40"/>
      <c r="G7" s="40"/>
      <c r="H7" s="40"/>
      <c r="I7" s="40"/>
      <c r="J7" s="40"/>
      <c r="K7" s="40"/>
      <c r="L7" s="40"/>
      <c r="M7" s="40"/>
      <c r="N7" s="40"/>
      <c r="O7" s="40"/>
      <c r="P7" s="40"/>
      <c r="Q7" s="40"/>
    </row>
    <row r="8" spans="3:23" ht="15.75" thickBot="1">
      <c r="D8" s="40"/>
      <c r="E8" s="40"/>
      <c r="F8" s="40"/>
      <c r="G8" s="40"/>
      <c r="H8" s="40"/>
      <c r="I8" s="528" t="s">
        <v>15</v>
      </c>
      <c r="J8" s="529"/>
      <c r="K8" s="530"/>
      <c r="L8" s="531" t="str">
        <f>IF('Mon Entreprise'!$K$8="","",'Mon Entreprise'!$K$8)</f>
        <v/>
      </c>
      <c r="M8" s="532"/>
      <c r="N8" s="416"/>
      <c r="O8" s="351"/>
      <c r="P8" s="351"/>
      <c r="Q8" s="351"/>
    </row>
    <row r="9" spans="3:23" ht="15" customHeight="1">
      <c r="D9" s="101"/>
      <c r="E9" s="101"/>
      <c r="F9" s="101"/>
      <c r="G9" s="101"/>
      <c r="H9" s="96"/>
      <c r="I9" s="96"/>
      <c r="J9" s="96"/>
      <c r="K9" s="96"/>
      <c r="L9" s="96"/>
      <c r="M9" s="96"/>
      <c r="N9" s="91"/>
      <c r="O9" s="91"/>
      <c r="P9" s="91"/>
      <c r="Q9" s="91"/>
      <c r="T9" s="99"/>
      <c r="U9" s="99"/>
    </row>
    <row r="10" spans="3:23" ht="15" customHeight="1">
      <c r="C10" s="283"/>
      <c r="D10" s="283"/>
      <c r="E10" s="283"/>
      <c r="F10" s="283"/>
      <c r="G10" s="283"/>
      <c r="H10" s="283"/>
      <c r="I10" s="283"/>
      <c r="J10" s="283"/>
      <c r="K10" s="283"/>
      <c r="L10" s="283"/>
      <c r="M10" s="283"/>
      <c r="N10" s="283"/>
      <c r="O10" s="283"/>
      <c r="P10" s="283"/>
      <c r="Q10" s="283"/>
      <c r="R10" s="283"/>
      <c r="S10" s="283"/>
      <c r="T10" s="283"/>
      <c r="U10" s="283"/>
      <c r="V10" s="283"/>
      <c r="W10" s="283"/>
    </row>
    <row r="11" spans="3:23" ht="15" customHeight="1">
      <c r="C11" s="503" t="s">
        <v>367</v>
      </c>
      <c r="D11" s="503"/>
      <c r="E11" s="503"/>
      <c r="F11" s="503"/>
      <c r="G11" s="503"/>
      <c r="H11" s="503"/>
      <c r="I11" s="503"/>
      <c r="J11" s="503"/>
      <c r="K11" s="503"/>
      <c r="L11" s="503"/>
      <c r="M11" s="503"/>
      <c r="N11" s="503"/>
      <c r="O11" s="503"/>
      <c r="P11" s="503"/>
      <c r="Q11" s="503"/>
      <c r="R11" s="503"/>
      <c r="S11" s="503"/>
      <c r="T11" s="503"/>
      <c r="U11" s="503"/>
      <c r="V11" s="503"/>
      <c r="W11" s="503"/>
    </row>
    <row r="12" spans="3:23" ht="15" customHeight="1">
      <c r="C12" s="255"/>
      <c r="D12" s="255"/>
      <c r="E12" s="255"/>
      <c r="F12" s="255"/>
      <c r="G12" s="255"/>
      <c r="H12" s="255"/>
      <c r="I12" s="255"/>
      <c r="J12" s="255"/>
      <c r="K12" s="255"/>
      <c r="L12" s="255"/>
      <c r="M12" s="255"/>
      <c r="N12" s="255"/>
      <c r="O12" s="255"/>
      <c r="P12" s="255"/>
      <c r="Q12" s="255"/>
      <c r="R12" s="255"/>
      <c r="S12" s="255"/>
      <c r="T12" s="255"/>
      <c r="U12" s="255"/>
      <c r="V12" s="255"/>
      <c r="W12" s="255"/>
    </row>
    <row r="13" spans="3:23" ht="15" customHeight="1">
      <c r="C13" s="503" t="s">
        <v>368</v>
      </c>
      <c r="D13" s="503"/>
      <c r="E13" s="503"/>
      <c r="F13" s="503"/>
      <c r="G13" s="503"/>
      <c r="H13" s="503"/>
      <c r="I13" s="503"/>
      <c r="J13" s="503"/>
      <c r="K13" s="503"/>
      <c r="L13" s="503"/>
      <c r="M13" s="503"/>
      <c r="N13" s="503"/>
      <c r="O13" s="503"/>
      <c r="P13" s="503"/>
      <c r="Q13" s="503"/>
      <c r="R13" s="503"/>
      <c r="S13" s="503"/>
      <c r="T13" s="503"/>
      <c r="U13" s="503"/>
      <c r="V13" s="503"/>
      <c r="W13" s="503"/>
    </row>
    <row r="14" spans="3:23" ht="15" customHeight="1">
      <c r="C14" s="503"/>
      <c r="D14" s="503"/>
      <c r="E14" s="503"/>
      <c r="F14" s="503"/>
      <c r="G14" s="503"/>
      <c r="H14" s="503"/>
      <c r="I14" s="503"/>
      <c r="J14" s="503"/>
      <c r="K14" s="503"/>
      <c r="L14" s="503"/>
      <c r="M14" s="503"/>
      <c r="N14" s="503"/>
      <c r="O14" s="503"/>
      <c r="P14" s="503"/>
      <c r="Q14" s="503"/>
      <c r="R14" s="503"/>
      <c r="S14" s="503"/>
      <c r="T14" s="503"/>
      <c r="U14" s="503"/>
      <c r="V14" s="503"/>
      <c r="W14" s="503"/>
    </row>
    <row r="15" spans="3:23" ht="15" customHeight="1">
      <c r="C15" s="279"/>
      <c r="D15" s="279"/>
      <c r="E15" s="279"/>
      <c r="F15" s="279"/>
      <c r="G15" s="279"/>
      <c r="H15" s="279"/>
      <c r="I15" s="279"/>
      <c r="J15" s="279"/>
      <c r="K15" s="279"/>
      <c r="L15" s="279"/>
      <c r="M15" s="279"/>
      <c r="N15" s="279"/>
      <c r="O15" s="279"/>
      <c r="P15" s="279"/>
      <c r="Q15" s="279"/>
      <c r="R15" s="279"/>
      <c r="S15" s="279"/>
      <c r="T15" s="279"/>
      <c r="U15" s="279"/>
      <c r="V15" s="279"/>
      <c r="W15" s="279"/>
    </row>
    <row r="16" spans="3:23" ht="15" customHeight="1">
      <c r="C16" s="547" t="s">
        <v>370</v>
      </c>
      <c r="D16" s="548"/>
      <c r="E16" s="548"/>
      <c r="F16" s="549"/>
      <c r="G16" s="321"/>
      <c r="H16" s="289"/>
      <c r="I16" s="373" t="s">
        <v>379</v>
      </c>
      <c r="J16" s="373"/>
      <c r="K16" s="554">
        <v>0</v>
      </c>
      <c r="L16" s="555"/>
      <c r="M16" s="289"/>
      <c r="N16" s="547" t="s">
        <v>434</v>
      </c>
      <c r="O16" s="548"/>
      <c r="P16" s="548"/>
      <c r="Q16" s="552">
        <v>0</v>
      </c>
      <c r="R16" s="553"/>
      <c r="W16" s="283"/>
    </row>
    <row r="17" spans="2:30">
      <c r="E17" s="44"/>
      <c r="F17" s="44"/>
      <c r="G17" s="44"/>
      <c r="H17" s="44"/>
      <c r="I17" s="44"/>
      <c r="J17" s="44"/>
      <c r="K17" s="44"/>
      <c r="L17" s="44"/>
      <c r="M17" s="44"/>
      <c r="N17" s="44"/>
      <c r="O17" s="44"/>
      <c r="P17" s="44"/>
      <c r="Q17" s="40"/>
      <c r="R17" s="40"/>
      <c r="S17" s="1"/>
    </row>
    <row r="18" spans="2:30" ht="15" customHeight="1">
      <c r="C18" s="547" t="s">
        <v>369</v>
      </c>
      <c r="D18" s="548"/>
      <c r="E18" s="548"/>
      <c r="F18" s="548"/>
      <c r="G18" s="548"/>
      <c r="J18" s="44"/>
      <c r="N18" s="44"/>
      <c r="O18" s="44"/>
      <c r="P18" s="44"/>
      <c r="Q18" s="40"/>
      <c r="R18" s="40"/>
      <c r="S18" s="1"/>
    </row>
    <row r="19" spans="2:30">
      <c r="G19" s="44"/>
      <c r="H19" s="44"/>
      <c r="I19" s="44"/>
      <c r="J19" s="44"/>
      <c r="K19" s="44"/>
      <c r="L19" s="44"/>
      <c r="M19" s="44"/>
      <c r="N19" s="44"/>
      <c r="O19" s="44"/>
      <c r="P19" s="44"/>
      <c r="Q19" s="40"/>
      <c r="R19" s="40"/>
      <c r="S19" s="1"/>
    </row>
    <row r="20" spans="2:30">
      <c r="G20" s="475" t="s">
        <v>301</v>
      </c>
      <c r="H20" s="475"/>
      <c r="I20" s="1"/>
      <c r="J20" s="526" t="s">
        <v>307</v>
      </c>
      <c r="K20" s="526"/>
      <c r="M20" s="526" t="s">
        <v>344</v>
      </c>
      <c r="N20" s="526"/>
      <c r="P20" s="526" t="s">
        <v>345</v>
      </c>
      <c r="Q20" s="526"/>
      <c r="S20" s="526" t="s">
        <v>346</v>
      </c>
      <c r="T20" s="526"/>
      <c r="V20" s="526" t="s">
        <v>347</v>
      </c>
      <c r="W20" s="526"/>
    </row>
    <row r="21" spans="2:30">
      <c r="H21" s="1"/>
      <c r="I21" s="1"/>
    </row>
    <row r="22" spans="2:30">
      <c r="C22" s="527" t="s">
        <v>348</v>
      </c>
      <c r="D22" s="527"/>
      <c r="G22" s="514">
        <v>0</v>
      </c>
      <c r="H22" s="515"/>
      <c r="J22" s="514">
        <v>0</v>
      </c>
      <c r="K22" s="515"/>
      <c r="M22" s="514">
        <v>0</v>
      </c>
      <c r="N22" s="515"/>
      <c r="P22" s="514">
        <v>0</v>
      </c>
      <c r="Q22" s="515"/>
      <c r="S22" s="520">
        <v>0</v>
      </c>
      <c r="T22" s="521"/>
      <c r="V22" s="520">
        <v>0</v>
      </c>
      <c r="W22" s="521"/>
      <c r="AA22" s="3"/>
    </row>
    <row r="23" spans="2:30">
      <c r="H23" s="1"/>
      <c r="I23" s="1"/>
      <c r="P23" s="6"/>
      <c r="AA23" s="284" t="s">
        <v>361</v>
      </c>
    </row>
    <row r="24" spans="2:30">
      <c r="B24" s="277" t="s">
        <v>349</v>
      </c>
      <c r="C24" s="527" t="s">
        <v>351</v>
      </c>
      <c r="D24" s="527"/>
      <c r="G24" s="514">
        <v>0</v>
      </c>
      <c r="H24" s="515"/>
      <c r="J24" s="514">
        <v>0</v>
      </c>
      <c r="K24" s="515"/>
      <c r="M24" s="514">
        <v>0</v>
      </c>
      <c r="N24" s="515"/>
      <c r="P24" s="514">
        <v>0</v>
      </c>
      <c r="Q24" s="515"/>
      <c r="S24" s="520">
        <v>0</v>
      </c>
      <c r="T24" s="521"/>
      <c r="V24" s="520">
        <v>0</v>
      </c>
      <c r="W24" s="521"/>
      <c r="AA24" s="284" t="s">
        <v>362</v>
      </c>
    </row>
    <row r="25" spans="2:30">
      <c r="B25" s="277"/>
      <c r="C25" s="527"/>
      <c r="D25" s="527"/>
      <c r="P25" s="5"/>
    </row>
    <row r="26" spans="2:30">
      <c r="B26" s="277" t="s">
        <v>350</v>
      </c>
      <c r="C26" s="527" t="s">
        <v>352</v>
      </c>
      <c r="D26" s="527"/>
      <c r="G26" s="514">
        <v>0</v>
      </c>
      <c r="H26" s="515"/>
      <c r="J26" s="514">
        <v>0</v>
      </c>
      <c r="K26" s="515"/>
      <c r="M26" s="514">
        <v>0</v>
      </c>
      <c r="N26" s="515"/>
      <c r="P26" s="514">
        <v>0</v>
      </c>
      <c r="Q26" s="515"/>
      <c r="S26" s="520">
        <v>0</v>
      </c>
      <c r="T26" s="521"/>
      <c r="V26" s="520">
        <v>0</v>
      </c>
      <c r="W26" s="521"/>
    </row>
    <row r="27" spans="2:30">
      <c r="B27" s="277"/>
      <c r="C27" s="527"/>
      <c r="D27" s="527"/>
      <c r="AB27" t="s">
        <v>377</v>
      </c>
      <c r="AC27" t="s">
        <v>378</v>
      </c>
    </row>
    <row r="28" spans="2:30" ht="15" customHeight="1">
      <c r="B28" s="277" t="s">
        <v>350</v>
      </c>
      <c r="C28" s="550" t="s">
        <v>353</v>
      </c>
      <c r="D28" s="550"/>
      <c r="G28" s="514">
        <v>0</v>
      </c>
      <c r="H28" s="515"/>
      <c r="J28" s="514">
        <v>0</v>
      </c>
      <c r="K28" s="515"/>
      <c r="M28" s="514">
        <v>0</v>
      </c>
      <c r="N28" s="515"/>
      <c r="P28" s="514">
        <v>0</v>
      </c>
      <c r="Q28" s="515"/>
      <c r="S28" s="520">
        <v>0</v>
      </c>
      <c r="T28" s="521"/>
      <c r="V28" s="520">
        <v>0</v>
      </c>
      <c r="W28" s="521"/>
      <c r="AA28" t="s">
        <v>372</v>
      </c>
      <c r="AB28" s="315">
        <f>IFERROR(IF($AD$28=0,0,IF($AD$28=1,IF(AND(G16&gt;=50,OR(K16&gt;=10000000,'Mon Entreprise'!M71&gt;=10000000)),IF(G$35*-0.7&gt;=10000000,10000000,G$35*-0.7),IF(G$35*-0.9&gt;10000000,10000000,G$35*-0.9)))),0)</f>
        <v>0</v>
      </c>
      <c r="AC28" s="316">
        <f>AB28</f>
        <v>0</v>
      </c>
      <c r="AD28">
        <f>IFERROR(IF(AND(AND(1-('Mon Entreprise'!M97+'Mon Entreprise'!M99)/('Mon Entreprise'!I97+'Mon Entreprise'!I99)&gt;=0.5,OR('Mes Aides'!AB199="OUI",'Mes Aides'!AB200="OUI",'Mes Aides'!AB201="OUI",'Mes Aides'!AB202=TRUE)),OR(AND(C47=AA23,C48=AA23,C49=AA23,C50=AA23,C51=AA23),AND(C47=AA23,C51=AA23,AND(Annexes!V6&gt;=Annexes!X6,Annexes!V6&lt;=Annexes!X7)))),1,0),0)</f>
        <v>0</v>
      </c>
    </row>
    <row r="29" spans="2:30">
      <c r="B29" s="277"/>
      <c r="C29" s="550"/>
      <c r="D29" s="550"/>
      <c r="N29" s="322"/>
      <c r="AA29" t="s">
        <v>380</v>
      </c>
      <c r="AB29" s="317">
        <f>IFERROR(IF($AD$29=0,0,IF($AD$29=1,IF(AND(G16&gt;=50,OR(K16&gt;=10000000,'Mon Entreprise'!M71&gt;=10000000)),IF(J$35*-0.7+AC28&gt;=10000000,10000000-AC28,J$35*-0.7),IF(J$35*-0.9+AC28&gt;10000000,10000000-AC28,J$35*-0.9)))),0)</f>
        <v>0</v>
      </c>
      <c r="AC29" s="316">
        <f>AB29+AC28</f>
        <v>0</v>
      </c>
      <c r="AD29">
        <f>IFERROR(IF(AND(AND(1-('Mon Entreprise'!M97+'Mon Entreprise'!M99)/('Mon Entreprise'!I97+'Mon Entreprise'!I99)&gt;=0.5,OR('Mes Aides'!AB254="OUI",'Mes Aides'!AB255="OUI",'Mes Aides'!AB256="OUI",'Mes Aides'!AB227=TRUE)),OR(AND(C69=AA23,C70=AA23,C71=AA23,C72=AA23,C73=AA23),AND(C69=AA23,C73=AA23,AND(Annexes!V6&gt;=Annexes!X6,Annexes!V6&lt;=Annexes!X7)))),1,0),0)</f>
        <v>0</v>
      </c>
    </row>
    <row r="30" spans="2:30">
      <c r="B30" s="277" t="s">
        <v>350</v>
      </c>
      <c r="C30" s="527" t="s">
        <v>354</v>
      </c>
      <c r="D30" s="527"/>
      <c r="G30" s="514">
        <v>0</v>
      </c>
      <c r="H30" s="515"/>
      <c r="J30" s="514">
        <v>0</v>
      </c>
      <c r="K30" s="515"/>
      <c r="M30" s="514">
        <v>0</v>
      </c>
      <c r="N30" s="515"/>
      <c r="P30" s="514">
        <v>0</v>
      </c>
      <c r="Q30" s="515"/>
      <c r="S30" s="520">
        <v>0</v>
      </c>
      <c r="T30" s="521"/>
      <c r="V30" s="520">
        <v>0</v>
      </c>
      <c r="W30" s="521"/>
      <c r="AA30" t="s">
        <v>373</v>
      </c>
      <c r="AB30" s="315">
        <f>IFERROR(IF($AD$30=0,0,IF($AD$30=1,IF(AND(G16&gt;=50,OR(K16&gt;=10000000,'Mon Entreprise'!M71&gt;=10000000)),IF(M$35*-0.7+AC29&gt;=10000000,10000000-AC29,M$35*-0.7),IF(M$35*-0.9+AC29&gt;10000000,10000000-AC29,M$35*-0.9)))),0)</f>
        <v>0</v>
      </c>
      <c r="AC30" s="316">
        <f>AB30+AC29</f>
        <v>0</v>
      </c>
      <c r="AD30" s="318">
        <f>IFERROR(IF(AND(AND(1-('Mon Entreprise'!M101+'Mon Entreprise'!M103)/('Mon Entreprise'!I101+'Mon Entreprise'!I103)&gt;=0.5,OR('Mes Aides'!AB314="OUI",'Mes Aides'!AB315="OUI",'Mes Aides'!AB316="OUI",'Mes Aides'!AB317=TRUE,'Mes Aides'!AB318=TRUE)),OR(AND(C91=AA23,C92=AA23,C93=AA23,C94=AA23,C95=AA23),AND(C91=AA23,C95=AA23,AND(Annexes!V6&gt;=Annexes!X6,Annexes!V6&lt;=Annexes!X7)))),1,0),0)</f>
        <v>0</v>
      </c>
    </row>
    <row r="31" spans="2:30" ht="17.25" customHeight="1">
      <c r="B31" s="277"/>
      <c r="C31" s="527"/>
      <c r="D31" s="527"/>
      <c r="AA31" t="s">
        <v>374</v>
      </c>
      <c r="AB31" s="315">
        <f>IFERROR(IF($AD$31=0,0,IF($AD$31=1,IF(AND(G16&gt;=50,OR(K16&gt;=10000000,'Mon Entreprise'!M71&gt;=10000000)),IF(P$35*-0.7+AC30&gt;=10000000,10000000-AC30,P$35*-0.7),IF(P$35*-0.9+AC30&gt;10000000,10000000-AC30,P$35*-0.9)))),0)</f>
        <v>0</v>
      </c>
      <c r="AC31" s="316">
        <f>AB31+AC30</f>
        <v>0</v>
      </c>
      <c r="AD31" s="318">
        <f>IFERROR(IF(AND(AND(1-('Mon Entreprise'!M101+'Mon Entreprise'!M103)/('Mon Entreprise'!I101+'Mon Entreprise'!I103)&gt;=0.5,OR('Mes Aides'!AB378="OUI",'Mes Aides'!AB379="OUI",'Mes Aides'!AB380="OUI",'Mes Aides'!AB381=TRUE,'Mes Aides'!AB382=TRUE)),OR(AND(C113=AA23,C114=AA23,C115=AA23,C116=AA23,C117=AA23),AND(C113=AA23,C117=AA23,AND(Annexes!V6&gt;=Annexes!X6,Annexes!V6&lt;=Annexes!X7)))),1,0),0)</f>
        <v>0</v>
      </c>
    </row>
    <row r="32" spans="2:30" ht="15" customHeight="1">
      <c r="B32" s="277" t="s">
        <v>350</v>
      </c>
      <c r="C32" s="550" t="s">
        <v>355</v>
      </c>
      <c r="D32" s="550"/>
      <c r="G32" s="514">
        <v>0</v>
      </c>
      <c r="H32" s="515"/>
      <c r="J32" s="514">
        <v>0</v>
      </c>
      <c r="K32" s="515"/>
      <c r="M32" s="514">
        <v>0</v>
      </c>
      <c r="N32" s="515"/>
      <c r="P32" s="514">
        <v>0</v>
      </c>
      <c r="Q32" s="515"/>
      <c r="S32" s="520">
        <v>0</v>
      </c>
      <c r="T32" s="521"/>
      <c r="V32" s="520">
        <v>0</v>
      </c>
      <c r="W32" s="521"/>
      <c r="AA32" t="s">
        <v>375</v>
      </c>
      <c r="AB32" s="315">
        <f>IFERROR(IF($AD$32=0,0,IF($AD$32=1,IF(AND(G16&gt;=50,OR(K16&gt;=10000000,'Mon Entreprise'!M71&gt;=10000000)),IF(S$35*-0.7+AC31&gt;=10000000,10000000-AC31,S$35*-0.7),IF(S$35*-0.9+AC31&gt;10000000,10000000-AC31,S$35*-0.9)))),0)</f>
        <v>0</v>
      </c>
      <c r="AC32" s="316">
        <f t="shared" ref="AC32:AC33" si="0">AB32+AC31</f>
        <v>0</v>
      </c>
      <c r="AD32" s="318"/>
    </row>
    <row r="33" spans="2:30">
      <c r="B33" s="277"/>
      <c r="C33" s="550"/>
      <c r="D33" s="550"/>
      <c r="AA33" t="s">
        <v>376</v>
      </c>
      <c r="AB33" s="315">
        <f>IFERROR(IF($AD$33=0,0,IF($AD$33=1,IF(AND(G16&gt;=50,OR(K16&gt;=10000000,'Mon Entreprise'!M71&gt;=10000000)),IF(V$35*-0.7+AC32&gt;=10000000,10000000-AC32,V$35*-0.7),IF(V$35*-0.9+AC32&gt;10000000,10000000-AC32,V$35*-0.9)))),0)</f>
        <v>0</v>
      </c>
      <c r="AC33" s="316">
        <f t="shared" si="0"/>
        <v>0</v>
      </c>
      <c r="AD33" s="318"/>
    </row>
    <row r="34" spans="2:30">
      <c r="G34" s="280"/>
      <c r="H34" s="280"/>
      <c r="I34" s="1"/>
      <c r="J34" s="280"/>
      <c r="K34" s="280"/>
      <c r="L34" s="1"/>
      <c r="M34" s="280"/>
      <c r="N34" s="280"/>
      <c r="O34" s="1"/>
      <c r="P34" s="280"/>
      <c r="Q34" s="280"/>
      <c r="R34" s="1"/>
      <c r="S34" s="280"/>
      <c r="T34" s="280"/>
      <c r="U34" s="1"/>
      <c r="V34" s="280"/>
      <c r="W34" s="280"/>
    </row>
    <row r="35" spans="2:30" ht="15" customHeight="1">
      <c r="C35" s="550" t="s">
        <v>356</v>
      </c>
      <c r="D35" s="550"/>
      <c r="E35" s="513" t="s">
        <v>357</v>
      </c>
      <c r="F35" s="513"/>
      <c r="G35" s="516">
        <f>G22+G24-G26-G28-G30-G32</f>
        <v>0</v>
      </c>
      <c r="H35" s="517"/>
      <c r="J35" s="516">
        <f>J22+J24-J26-J28-J30-J32</f>
        <v>0</v>
      </c>
      <c r="K35" s="517"/>
      <c r="M35" s="516">
        <f>M22+M24-M26-M28-M30-M32</f>
        <v>0</v>
      </c>
      <c r="N35" s="517"/>
      <c r="P35" s="516">
        <f>P22+P24-P26-P28-P30-P32</f>
        <v>0</v>
      </c>
      <c r="Q35" s="517"/>
      <c r="S35" s="522">
        <f>S22+S24-S26-S28-S30-S32</f>
        <v>0</v>
      </c>
      <c r="T35" s="523"/>
      <c r="V35" s="522">
        <f>V22+V24-V26-V28-V30-V32</f>
        <v>0</v>
      </c>
      <c r="W35" s="523"/>
    </row>
    <row r="36" spans="2:30">
      <c r="C36" s="550"/>
      <c r="D36" s="550"/>
      <c r="E36" s="513"/>
      <c r="F36" s="513"/>
      <c r="G36" s="518"/>
      <c r="H36" s="519"/>
      <c r="J36" s="518"/>
      <c r="K36" s="519"/>
      <c r="M36" s="518"/>
      <c r="N36" s="519"/>
      <c r="P36" s="518"/>
      <c r="Q36" s="519"/>
      <c r="S36" s="524"/>
      <c r="T36" s="525"/>
      <c r="V36" s="524"/>
      <c r="W36" s="525"/>
    </row>
    <row r="41" spans="2:30" ht="16.5" thickBot="1">
      <c r="B41" s="221"/>
      <c r="C41" s="433" t="s">
        <v>359</v>
      </c>
      <c r="D41" s="433"/>
      <c r="E41" s="433"/>
      <c r="F41" s="433"/>
      <c r="G41" s="433"/>
      <c r="H41" s="433"/>
      <c r="I41" s="433"/>
      <c r="J41" s="222"/>
      <c r="K41" s="222"/>
      <c r="L41" s="222"/>
      <c r="M41" s="222"/>
      <c r="N41" s="222"/>
      <c r="O41" s="222"/>
      <c r="P41" s="222"/>
    </row>
    <row r="42" spans="2:30" ht="15.75">
      <c r="B42" s="63"/>
      <c r="C42" s="103"/>
      <c r="D42" s="24"/>
      <c r="E42" s="24"/>
      <c r="F42" s="24"/>
      <c r="G42" s="24"/>
      <c r="H42" s="24"/>
      <c r="I42" s="103"/>
      <c r="J42" s="1"/>
      <c r="K42" s="1"/>
      <c r="L42" s="1"/>
      <c r="M42" s="1"/>
      <c r="N42" s="1"/>
      <c r="O42" s="1"/>
      <c r="P42" s="1"/>
    </row>
    <row r="43" spans="2:30" ht="15.75">
      <c r="B43" s="103"/>
      <c r="C43" s="60"/>
      <c r="D43" s="278"/>
      <c r="E43" s="278"/>
      <c r="F43" s="278"/>
      <c r="G43" s="278"/>
      <c r="H43" s="278"/>
      <c r="I43" s="278"/>
      <c r="J43" s="278"/>
      <c r="K43" s="278"/>
      <c r="L43" s="278"/>
      <c r="M43" s="278"/>
      <c r="N43" s="278"/>
      <c r="O43" s="278"/>
    </row>
    <row r="44" spans="2:30" ht="15.75" customHeight="1">
      <c r="B44" s="103"/>
      <c r="C44" s="551" t="str">
        <f>IFERROR(IF(AND(1-('Mon Entreprise'!M97+'Mon Entreprise'!M99)/('Mon Entreprise'!I97+'Mon Entreprise'!I99)&gt;=0.5,OR('Mes Aides'!AB199="OUI",'Mes Aides'!AB200="OUI",'Mes Aides'!AB201="OUI",'Mes Aides'!AB202=TRUE)),"L'entreprises fait l’objet d’une interdiction d’accueil du public ou appartenant aux secteurs mentionnés en annexe 1,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44" s="551"/>
      <c r="E44" s="551"/>
      <c r="F44" s="551"/>
      <c r="G44" s="551"/>
      <c r="H44" s="551"/>
      <c r="I44" s="551"/>
      <c r="J44" s="551"/>
      <c r="K44" s="551"/>
      <c r="L44" s="551"/>
      <c r="M44" s="551"/>
      <c r="N44" s="551"/>
      <c r="O44" s="551"/>
      <c r="P44" s="551"/>
      <c r="S44" s="6"/>
    </row>
    <row r="45" spans="2:30" ht="15" customHeight="1">
      <c r="C45" s="551"/>
      <c r="D45" s="551"/>
      <c r="E45" s="551"/>
      <c r="F45" s="551"/>
      <c r="G45" s="551"/>
      <c r="H45" s="551"/>
      <c r="I45" s="551"/>
      <c r="J45" s="551"/>
      <c r="K45" s="551"/>
      <c r="L45" s="551"/>
      <c r="M45" s="551"/>
      <c r="N45" s="551"/>
      <c r="O45" s="551"/>
      <c r="P45" s="551"/>
    </row>
    <row r="46" spans="2:30" ht="15" customHeight="1">
      <c r="C46" s="551"/>
      <c r="D46" s="551"/>
      <c r="E46" s="551"/>
      <c r="F46" s="551"/>
      <c r="G46" s="551"/>
      <c r="H46" s="551"/>
      <c r="I46" s="551"/>
      <c r="J46" s="551"/>
      <c r="K46" s="551"/>
      <c r="L46" s="551"/>
      <c r="M46" s="551"/>
      <c r="N46" s="551"/>
      <c r="O46" s="551"/>
      <c r="P46" s="551"/>
    </row>
    <row r="47" spans="2:30">
      <c r="C47" s="285" t="str">
        <f>IF('Mon Entreprise'!K8&lt;=Annexes!O14,"þ","ý")</f>
        <v>þ</v>
      </c>
      <c r="D47" s="286" t="s">
        <v>360</v>
      </c>
      <c r="E47" s="40"/>
    </row>
    <row r="48" spans="2:30">
      <c r="C48" s="285" t="str">
        <f>IF('Mes Aides'!AB198&gt;=0.1,"þ","ý")</f>
        <v>ý</v>
      </c>
      <c r="D48" s="286" t="s">
        <v>363</v>
      </c>
      <c r="E48" s="40"/>
    </row>
    <row r="49" spans="2:16">
      <c r="C49" s="285" t="str">
        <f>IF(OR('Mon Entreprise'!I71&gt;=12000000,'Mon Entreprise'!I97&gt;=1000000,Q16&gt;=12000000),"þ","ý")</f>
        <v>ý</v>
      </c>
      <c r="D49" s="286" t="s">
        <v>364</v>
      </c>
      <c r="E49" s="40"/>
    </row>
    <row r="50" spans="2:16">
      <c r="C50" s="285" t="str">
        <f>IF('Mes Aides'!AB190&gt;=0.5,"þ","ý")</f>
        <v>ý</v>
      </c>
      <c r="D50" s="286" t="s">
        <v>365</v>
      </c>
      <c r="E50" s="40"/>
    </row>
    <row r="51" spans="2:16">
      <c r="C51" s="285" t="str">
        <f>IF((G35+J35)/2&lt;0,"þ","ý")</f>
        <v>ý</v>
      </c>
      <c r="D51" s="286" t="s">
        <v>414</v>
      </c>
      <c r="E51" s="40"/>
    </row>
    <row r="53" spans="2:16">
      <c r="C53" s="503" t="str">
        <f>IF(AND(C47=AA23,C48=AA23,C49=AA23,C50=AA23,C51=AA23),"L'entreprise remplie l'ensemble des conditions pour obtenir l'aide exceptionnelle pour la prise en charge des coûts fixes.",IF(AND(C47=AA23,C51=AA23,OR(C48=AA24,C49=AA24,C50=AA24),AND(Annexes!V6&gt;=Annexes!X6,Annexes!V6&lt;=Annexes!X7)),"L'entreprise ne remplie pas les conditions de CA mais fait partie des entreprises des secteurs sans critères pour obtenir l'aide exceptionnelle pour la prise en charge des coûts fixes.",IF(AND(OR(C47=AA24,C51=AA24),AND(Annexes!V6&gt;=Annexes!X6,Annexes!V6&lt;=Annexes!X7)),"L'entreprise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53" s="503"/>
      <c r="E53" s="503"/>
      <c r="F53" s="503"/>
      <c r="G53" s="503"/>
      <c r="H53" s="503"/>
      <c r="I53" s="503"/>
      <c r="J53" s="503"/>
      <c r="K53" s="503"/>
      <c r="L53" s="503"/>
      <c r="M53" s="503"/>
      <c r="N53" s="503"/>
      <c r="O53" s="503"/>
      <c r="P53" s="503"/>
    </row>
    <row r="54" spans="2:16">
      <c r="C54" s="503"/>
      <c r="D54" s="503"/>
      <c r="E54" s="503"/>
      <c r="F54" s="503"/>
      <c r="G54" s="503"/>
      <c r="H54" s="503"/>
      <c r="I54" s="503"/>
      <c r="J54" s="503"/>
      <c r="K54" s="503"/>
      <c r="L54" s="503"/>
      <c r="M54" s="503"/>
      <c r="N54" s="503"/>
      <c r="O54" s="503"/>
      <c r="P54" s="503"/>
    </row>
    <row r="56" spans="2:16">
      <c r="C56" s="287" t="s">
        <v>371</v>
      </c>
      <c r="D56" s="288"/>
    </row>
    <row r="57" spans="2:16" ht="15.75" thickBot="1"/>
    <row r="58" spans="2:16">
      <c r="C58" s="504" t="str">
        <f>IFERROR(IF(AD28=0,"Vous ne pouvez pas bénéficier de l'aide, les conditions ne sont pas respectées",IF(AD28=1,IF(AND(G16&gt;=50,K16&gt;=10000000),"L'entreprise à plus de 50 salariés et un bilan total supérieur à 10 M€, le dispositif couvre 70 % des pertes d'exploitation","L'entreprise à moins de 50 salariés ou un bilan de moins de 10 M€, le dispositif couvre 90 % des pertes d'exploitation")))&amp;IF(AD28=0,". ",IF(AC28&gt;=10000000,", cependant le plafond de 10 M€ est déjà atteint pour l'année 2021. ",". ")&amp;IF(AD28=0,"","Dans votre cas, l'aide est de "&amp;ROUND(AB28,0)&amp;" €.")),"")</f>
        <v xml:space="preserve">Vous ne pouvez pas bénéficier de l'aide, les conditions ne sont pas respectées. </v>
      </c>
      <c r="D58" s="505"/>
      <c r="E58" s="505"/>
      <c r="F58" s="505"/>
      <c r="G58" s="505"/>
      <c r="H58" s="505"/>
      <c r="I58" s="505"/>
      <c r="J58" s="505"/>
      <c r="K58" s="505"/>
      <c r="L58" s="505"/>
      <c r="M58" s="505"/>
      <c r="N58" s="505"/>
      <c r="O58" s="505"/>
      <c r="P58" s="506"/>
    </row>
    <row r="59" spans="2:16">
      <c r="C59" s="507"/>
      <c r="D59" s="508"/>
      <c r="E59" s="508"/>
      <c r="F59" s="508"/>
      <c r="G59" s="508"/>
      <c r="H59" s="508"/>
      <c r="I59" s="508"/>
      <c r="J59" s="508"/>
      <c r="K59" s="508"/>
      <c r="L59" s="508"/>
      <c r="M59" s="508"/>
      <c r="N59" s="508"/>
      <c r="O59" s="508"/>
      <c r="P59" s="509"/>
    </row>
    <row r="60" spans="2:16" ht="15.75" thickBot="1">
      <c r="C60" s="510"/>
      <c r="D60" s="511"/>
      <c r="E60" s="511"/>
      <c r="F60" s="511"/>
      <c r="G60" s="511"/>
      <c r="H60" s="511"/>
      <c r="I60" s="511"/>
      <c r="J60" s="511"/>
      <c r="K60" s="511"/>
      <c r="L60" s="511"/>
      <c r="M60" s="511"/>
      <c r="N60" s="511"/>
      <c r="O60" s="511"/>
      <c r="P60" s="512"/>
    </row>
    <row r="61" spans="2:16" ht="15.75">
      <c r="C61" s="323"/>
      <c r="D61" s="323"/>
      <c r="E61" s="323"/>
      <c r="F61" s="323"/>
      <c r="G61" s="323"/>
      <c r="H61" s="323"/>
      <c r="I61" s="323"/>
      <c r="J61" s="323"/>
      <c r="K61" s="323"/>
      <c r="L61" s="323"/>
      <c r="M61" s="323"/>
      <c r="N61" s="323"/>
      <c r="O61" s="323"/>
      <c r="P61" s="323"/>
    </row>
    <row r="63" spans="2:16" ht="16.5" thickBot="1">
      <c r="B63" s="221"/>
      <c r="C63" s="433" t="s">
        <v>411</v>
      </c>
      <c r="D63" s="433"/>
      <c r="E63" s="433"/>
      <c r="F63" s="433"/>
      <c r="G63" s="433"/>
      <c r="H63" s="433"/>
      <c r="I63" s="433"/>
      <c r="J63" s="222"/>
      <c r="K63" s="222"/>
      <c r="L63" s="222"/>
      <c r="M63" s="222"/>
      <c r="N63" s="222"/>
      <c r="O63" s="222"/>
      <c r="P63" s="222"/>
    </row>
    <row r="64" spans="2:16" ht="15.75">
      <c r="B64" s="63"/>
      <c r="C64" s="103"/>
      <c r="D64" s="24"/>
      <c r="E64" s="24"/>
      <c r="F64" s="24"/>
      <c r="G64" s="24"/>
      <c r="H64" s="24"/>
      <c r="I64" s="103"/>
      <c r="J64" s="1"/>
      <c r="K64" s="1"/>
      <c r="L64" s="1"/>
      <c r="M64" s="1"/>
      <c r="N64" s="1"/>
      <c r="O64" s="1"/>
      <c r="P64" s="1"/>
    </row>
    <row r="65" spans="2:16" ht="15.75">
      <c r="B65" s="103"/>
      <c r="C65" s="60"/>
      <c r="D65" s="297"/>
      <c r="E65" s="297"/>
      <c r="F65" s="297"/>
      <c r="G65" s="297"/>
      <c r="H65" s="297"/>
      <c r="I65" s="297"/>
      <c r="J65" s="297"/>
      <c r="K65" s="297"/>
      <c r="L65" s="297"/>
      <c r="M65" s="297"/>
      <c r="N65" s="297"/>
      <c r="O65" s="297"/>
    </row>
    <row r="66" spans="2:16" ht="15.75">
      <c r="B66" s="103"/>
      <c r="C66" s="551" t="str">
        <f>IFERROR(IF(AND(1-('Mon Entreprise'!M97+'Mon Entreprise'!M99)/('Mon Entreprise'!I97+'Mon Entreprise'!I99)&gt;=0.5,OR('Mes Aides'!AB254="OUI",'Mes Aides'!AB255="OUI",'Mes Aides'!AB256="OUI",'Mes Aides'!AB227=TRUE)),"L'entreprises fait l’objet d’une interdiction d’accueil du public ou appartenant aux secteurs mentionnés en annexe 1 , 2 (S1 et S1 bis), 3"&amp;" ou ayant au moins un de leurs magasins de vente situé dans un centre commercial de plus de 20 000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20 000 m2, faisant l’objet d’une interdiction d’accueil du public."),"L'onglet 'Mon entreprise' n'a pas été entièrement complété.")</f>
        <v>L'onglet 'Mon entreprise' n'a pas été entièrement complété.</v>
      </c>
      <c r="D66" s="551"/>
      <c r="E66" s="551"/>
      <c r="F66" s="551"/>
      <c r="G66" s="551"/>
      <c r="H66" s="551"/>
      <c r="I66" s="551"/>
      <c r="J66" s="551"/>
      <c r="K66" s="551"/>
      <c r="L66" s="551"/>
      <c r="M66" s="551"/>
      <c r="N66" s="551"/>
      <c r="O66" s="551"/>
      <c r="P66" s="551"/>
    </row>
    <row r="67" spans="2:16">
      <c r="C67" s="551"/>
      <c r="D67" s="551"/>
      <c r="E67" s="551"/>
      <c r="F67" s="551"/>
      <c r="G67" s="551"/>
      <c r="H67" s="551"/>
      <c r="I67" s="551"/>
      <c r="J67" s="551"/>
      <c r="K67" s="551"/>
      <c r="L67" s="551"/>
      <c r="M67" s="551"/>
      <c r="N67" s="551"/>
      <c r="O67" s="551"/>
      <c r="P67" s="551"/>
    </row>
    <row r="68" spans="2:16">
      <c r="C68" s="551"/>
      <c r="D68" s="551"/>
      <c r="E68" s="551"/>
      <c r="F68" s="551"/>
      <c r="G68" s="551"/>
      <c r="H68" s="551"/>
      <c r="I68" s="551"/>
      <c r="J68" s="551"/>
      <c r="K68" s="551"/>
      <c r="L68" s="551"/>
      <c r="M68" s="551"/>
      <c r="N68" s="551"/>
      <c r="O68" s="551"/>
      <c r="P68" s="551"/>
    </row>
    <row r="69" spans="2:16">
      <c r="C69" s="285" t="str">
        <f>IF('Mon Entreprise'!K8&lt;=Annexes!O14,"þ","ý")</f>
        <v>þ</v>
      </c>
      <c r="D69" s="286" t="s">
        <v>360</v>
      </c>
      <c r="E69" s="40"/>
    </row>
    <row r="70" spans="2:16">
      <c r="C70" s="285" t="str">
        <f>IF('Mes Aides'!AB198&gt;=0.1,"þ","ý")</f>
        <v>ý</v>
      </c>
      <c r="D70" s="286" t="s">
        <v>363</v>
      </c>
      <c r="E70" s="40"/>
    </row>
    <row r="71" spans="2:16">
      <c r="C71" s="285" t="str">
        <f>IF(OR('Mon Entreprise'!I71&gt;=12000000,'Mon Entreprise'!I99&gt;=1000000,Q16&gt;=12000000),"þ","ý")</f>
        <v>ý</v>
      </c>
      <c r="D71" s="286" t="s">
        <v>364</v>
      </c>
      <c r="E71" s="40"/>
    </row>
    <row r="72" spans="2:16">
      <c r="C72" s="285" t="str">
        <f>IF('Mes Aides'!AB244&gt;=0.5,"þ","ý")</f>
        <v>ý</v>
      </c>
      <c r="D72" s="286" t="s">
        <v>412</v>
      </c>
      <c r="E72" s="40"/>
    </row>
    <row r="73" spans="2:16">
      <c r="C73" s="285" t="str">
        <f>IF((G35+J35)/2&lt;0,"þ","ý")</f>
        <v>ý</v>
      </c>
      <c r="D73" s="286" t="s">
        <v>413</v>
      </c>
      <c r="E73" s="40"/>
    </row>
    <row r="75" spans="2:16">
      <c r="C75" s="503" t="str">
        <f>IF(AND(C69=AA23,C70=AA23,C71=AA23,C72=AA23,C73=AA23),"L'entreprise remplie l'ensemble des conditions pour obtenir l'aide exceptionnelle pour la prise en charge des coûts fixes.",IF(AND(C69=AA23,C73=AA23,OR(C70=AA24,C71=AA24,C72=AA24),AND(Annexes!V6&gt;=Annexes!X6,Annexes!V6&lt;=Annexes!X7)),"L'entreprise ne remplie pas les conditions de CA mais fait partie des entreprises des secteurs sans critères pour obtenir l'aide exceptionnelle pour la prise en charge des coûts fixes.",IF(AND(OR(C69=AA24,C73=AA24),AND(Annexes!V6&gt;=Annexes!X6,Annexes!V6&lt;=Annexes!X7)),"L'entreprise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75" s="503"/>
      <c r="E75" s="503"/>
      <c r="F75" s="503"/>
      <c r="G75" s="503"/>
      <c r="H75" s="503"/>
      <c r="I75" s="503"/>
      <c r="J75" s="503"/>
      <c r="K75" s="503"/>
      <c r="L75" s="503"/>
      <c r="M75" s="503"/>
      <c r="N75" s="503"/>
      <c r="O75" s="503"/>
      <c r="P75" s="503"/>
    </row>
    <row r="76" spans="2:16">
      <c r="C76" s="503"/>
      <c r="D76" s="503"/>
      <c r="E76" s="503"/>
      <c r="F76" s="503"/>
      <c r="G76" s="503"/>
      <c r="H76" s="503"/>
      <c r="I76" s="503"/>
      <c r="J76" s="503"/>
      <c r="K76" s="503"/>
      <c r="L76" s="503"/>
      <c r="M76" s="503"/>
      <c r="N76" s="503"/>
      <c r="O76" s="503"/>
      <c r="P76" s="503"/>
    </row>
    <row r="78" spans="2:16">
      <c r="C78" s="287" t="s">
        <v>371</v>
      </c>
      <c r="D78" s="288"/>
    </row>
    <row r="79" spans="2:16" ht="15.75" thickBot="1"/>
    <row r="80" spans="2:16">
      <c r="C80" s="504" t="str">
        <f>IFERROR(IF(AD29=0,"Vous ne pouvez pas bénéficier de l'aide, les conditions ne sont pas respectées",IF(AD29=1,IF(AND(G16&gt;=50,K16&gt;=10000000),"L'entreprise à plus de 50 salariés et un bilan total supérieur à 10 M€, le dispositif couvre 70 % des pertes d'exploitation","L'entreprise à moins de 50 salariés ou un bilan de moins de 10 M€, le dispositif couvre 90 % des pertes d'exploitation")))&amp;IF(AD29=0,". ",IF(AC29&gt;=10000000,", cependant le plafond de 10 M€ est déjà atteint pour l'année 2021. ",". ")&amp;IF(AD29=0,"","Dans votre cas, l'aide est de "&amp;ROUND(AB29,0)&amp;" €.")),"")</f>
        <v xml:space="preserve">Vous ne pouvez pas bénéficier de l'aide, les conditions ne sont pas respectées. </v>
      </c>
      <c r="D80" s="505"/>
      <c r="E80" s="505"/>
      <c r="F80" s="505"/>
      <c r="G80" s="505"/>
      <c r="H80" s="505"/>
      <c r="I80" s="505"/>
      <c r="J80" s="505"/>
      <c r="K80" s="505"/>
      <c r="L80" s="505"/>
      <c r="M80" s="505"/>
      <c r="N80" s="505"/>
      <c r="O80" s="505"/>
      <c r="P80" s="506"/>
    </row>
    <row r="81" spans="2:16">
      <c r="C81" s="507"/>
      <c r="D81" s="508"/>
      <c r="E81" s="508"/>
      <c r="F81" s="508"/>
      <c r="G81" s="508"/>
      <c r="H81" s="508"/>
      <c r="I81" s="508"/>
      <c r="J81" s="508"/>
      <c r="K81" s="508"/>
      <c r="L81" s="508"/>
      <c r="M81" s="508"/>
      <c r="N81" s="508"/>
      <c r="O81" s="508"/>
      <c r="P81" s="509"/>
    </row>
    <row r="82" spans="2:16" ht="15.75" thickBot="1">
      <c r="C82" s="510"/>
      <c r="D82" s="511"/>
      <c r="E82" s="511"/>
      <c r="F82" s="511"/>
      <c r="G82" s="511"/>
      <c r="H82" s="511"/>
      <c r="I82" s="511"/>
      <c r="J82" s="511"/>
      <c r="K82" s="511"/>
      <c r="L82" s="511"/>
      <c r="M82" s="511"/>
      <c r="N82" s="511"/>
      <c r="O82" s="511"/>
      <c r="P82" s="512"/>
    </row>
    <row r="83" spans="2:16" ht="15.75">
      <c r="C83" s="323"/>
      <c r="D83" s="323"/>
      <c r="E83" s="323"/>
      <c r="F83" s="323"/>
      <c r="G83" s="323"/>
      <c r="H83" s="323"/>
      <c r="I83" s="323"/>
      <c r="J83" s="323"/>
      <c r="K83" s="323"/>
      <c r="L83" s="323"/>
      <c r="M83" s="323"/>
      <c r="N83" s="323"/>
      <c r="O83" s="323"/>
      <c r="P83" s="323"/>
    </row>
    <row r="85" spans="2:16" ht="16.5" thickBot="1">
      <c r="B85" s="222"/>
      <c r="C85" s="433" t="s">
        <v>416</v>
      </c>
      <c r="D85" s="433"/>
      <c r="E85" s="433"/>
      <c r="F85" s="433"/>
      <c r="G85" s="433"/>
      <c r="H85" s="433"/>
      <c r="I85" s="433"/>
      <c r="J85" s="222"/>
      <c r="K85" s="222"/>
      <c r="L85" s="222"/>
      <c r="M85" s="222"/>
      <c r="N85" s="222"/>
      <c r="O85" s="222"/>
      <c r="P85" s="222"/>
    </row>
    <row r="86" spans="2:16" ht="15.75">
      <c r="B86" s="63"/>
      <c r="C86" s="103"/>
      <c r="D86" s="24"/>
      <c r="E86" s="24"/>
      <c r="F86" s="24"/>
      <c r="G86" s="24"/>
      <c r="H86" s="24"/>
      <c r="I86" s="103"/>
      <c r="J86" s="1"/>
      <c r="K86" s="1"/>
      <c r="L86" s="1"/>
      <c r="M86" s="1"/>
      <c r="N86" s="1"/>
      <c r="O86" s="1"/>
      <c r="P86" s="1"/>
    </row>
    <row r="87" spans="2:16" ht="15.75">
      <c r="B87" s="103"/>
      <c r="C87" s="60"/>
      <c r="D87" s="335"/>
      <c r="E87" s="335"/>
      <c r="F87" s="335"/>
      <c r="G87" s="335"/>
      <c r="H87" s="335"/>
      <c r="I87" s="335"/>
      <c r="J87" s="335"/>
      <c r="K87" s="335"/>
      <c r="L87" s="335"/>
      <c r="M87" s="335"/>
      <c r="N87" s="335"/>
      <c r="O87" s="335"/>
    </row>
    <row r="88" spans="2:16" ht="15.75">
      <c r="B88" s="103"/>
      <c r="C88" s="551" t="str">
        <f>IFERROR(IF(AND(1-('Mon Entreprise'!M101+'Mon Entreprise'!M103)/('Mon Entreprise'!I101+'Mon Entreprise'!I103)&gt;=0.5,OR('Mes Aides'!AB314="OUI",'Mes Aides'!AB315="OUI",'Mes Aides'!AB316="OUI",'Mes Aides'!AB317=TRUE,'Mes Aides'!AB318=TRUE)),"L'entreprises fait l’objet d’une interdiction d’accueil du public ou appartenant aux secteurs mentionnés en annexe 1, 2 (S1 et S1 bis), 3"&amp;" ou ayant au moins un de leurs magasins de vente situé dans un centre commercial de plus de 10 000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10 000 m2, faisant l’objet d’une interdiction d’accueil du public."),"L'onglet 'Mon entreprise' n'a pas été entièrement complété.")</f>
        <v>L'onglet 'Mon entreprise' n'a pas été entièrement complété.</v>
      </c>
      <c r="D88" s="551"/>
      <c r="E88" s="551"/>
      <c r="F88" s="551"/>
      <c r="G88" s="551"/>
      <c r="H88" s="551"/>
      <c r="I88" s="551"/>
      <c r="J88" s="551"/>
      <c r="K88" s="551"/>
      <c r="L88" s="551"/>
      <c r="M88" s="551"/>
      <c r="N88" s="551"/>
      <c r="O88" s="551"/>
      <c r="P88" s="551"/>
    </row>
    <row r="89" spans="2:16">
      <c r="C89" s="551"/>
      <c r="D89" s="551"/>
      <c r="E89" s="551"/>
      <c r="F89" s="551"/>
      <c r="G89" s="551"/>
      <c r="H89" s="551"/>
      <c r="I89" s="551"/>
      <c r="J89" s="551"/>
      <c r="K89" s="551"/>
      <c r="L89" s="551"/>
      <c r="M89" s="551"/>
      <c r="N89" s="551"/>
      <c r="O89" s="551"/>
      <c r="P89" s="551"/>
    </row>
    <row r="90" spans="2:16">
      <c r="C90" s="551"/>
      <c r="D90" s="551"/>
      <c r="E90" s="551"/>
      <c r="F90" s="551"/>
      <c r="G90" s="551"/>
      <c r="H90" s="551"/>
      <c r="I90" s="551"/>
      <c r="J90" s="551"/>
      <c r="K90" s="551"/>
      <c r="L90" s="551"/>
      <c r="M90" s="551"/>
      <c r="N90" s="551"/>
      <c r="O90" s="551"/>
      <c r="P90" s="551"/>
    </row>
    <row r="91" spans="2:16">
      <c r="C91" s="285" t="str">
        <f>IF('Mon Entreprise'!K8&lt;=Annexes!O16,"þ","ý")</f>
        <v>þ</v>
      </c>
      <c r="D91" s="286" t="s">
        <v>446</v>
      </c>
      <c r="E91" s="40"/>
    </row>
    <row r="92" spans="2:16">
      <c r="C92" s="285" t="str">
        <f>IF('Mes Aides'!AB198&gt;=0.1,"þ","ý")</f>
        <v>ý</v>
      </c>
      <c r="D92" s="286" t="s">
        <v>363</v>
      </c>
      <c r="E92" s="40"/>
    </row>
    <row r="93" spans="2:16">
      <c r="C93" s="285" t="str">
        <f>IF(OR('Mon Entreprise'!I71&gt;=12000000,'Mon Entreprise'!I101&gt;=1000000,Q16&gt;=12000000),"þ","ý")</f>
        <v>ý</v>
      </c>
      <c r="D93" s="286" t="s">
        <v>364</v>
      </c>
      <c r="E93" s="40"/>
    </row>
    <row r="94" spans="2:16">
      <c r="C94" s="285" t="str">
        <f>IF('Mes Aides'!AB304&gt;=0.5,"þ","ý")</f>
        <v>ý</v>
      </c>
      <c r="D94" s="286" t="s">
        <v>447</v>
      </c>
      <c r="E94" s="40"/>
    </row>
    <row r="95" spans="2:16">
      <c r="C95" s="285" t="str">
        <f>IF((M35+P35)/2&lt;0,"þ","ý")</f>
        <v>ý</v>
      </c>
      <c r="D95" s="286" t="s">
        <v>448</v>
      </c>
      <c r="E95" s="40"/>
    </row>
    <row r="97" spans="2:16">
      <c r="C97" s="503" t="str">
        <f>IF(AND(C91=AA23,C92=AA23,C93=AA23,C94=AA23,C95=AA23),"L'entreprise remplie l'ensemble des conditions pour obtenir l'aide exceptionnelle pour la prise en charge des coûts fixes.",IF(AND(C91=AA23,C95=AA23,OR(C92=AA24,C93=AA24,C94=AA24),AND(Annexes!V6&gt;=Annexes!X6,Annexes!V6&lt;=Annexes!X7)),"L'entreprise ne remplie pas les conditions de CA mais fait partie des entreprises des secteurs sans critères pour obtenir l'aide exceptionnelle pour la prise en charge des coûts fixes.",IF(AND(OR(C91=AA24,C95=AA24),AND(Annexes!V6&gt;=Annexes!X6,Annexes!V6&lt;=Annexes!X7)),"L'entreprise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97" s="503"/>
      <c r="E97" s="503"/>
      <c r="F97" s="503"/>
      <c r="G97" s="503"/>
      <c r="H97" s="503"/>
      <c r="I97" s="503"/>
      <c r="J97" s="503"/>
      <c r="K97" s="503"/>
      <c r="L97" s="503"/>
      <c r="M97" s="503"/>
      <c r="N97" s="503"/>
      <c r="O97" s="503"/>
      <c r="P97" s="503"/>
    </row>
    <row r="98" spans="2:16">
      <c r="C98" s="503"/>
      <c r="D98" s="503"/>
      <c r="E98" s="503"/>
      <c r="F98" s="503"/>
      <c r="G98" s="503"/>
      <c r="H98" s="503"/>
      <c r="I98" s="503"/>
      <c r="J98" s="503"/>
      <c r="K98" s="503"/>
      <c r="L98" s="503"/>
      <c r="M98" s="503"/>
      <c r="N98" s="503"/>
      <c r="O98" s="503"/>
      <c r="P98" s="503"/>
    </row>
    <row r="100" spans="2:16">
      <c r="C100" s="287" t="s">
        <v>371</v>
      </c>
      <c r="D100" s="288"/>
    </row>
    <row r="101" spans="2:16" ht="15.75" thickBot="1"/>
    <row r="102" spans="2:16">
      <c r="C102" s="504" t="str">
        <f>IFERROR(IF(AD30=0,"Vous ne pouvez pas bénéficier de l'aide, les conditions ne sont pas respectées",IF(AD30=1,IF(AND(G16&gt;=50,K16&gt;=10000000),"L'entreprise à plus de 50 salariés et un bilan total supérieur à 10 M€, le dispositif couvre 70 % des pertes d'exploitation","L'entreprise à moins de 50 salariés ou un bilan de moins de 10 M€, le dispositif couvre 90 % des pertes d'exploitation")))&amp;IF(AD30=0,". ",IF(AC30&gt;=10000000,", cependant le plafond de 10 M€ est déjà atteint pour l'année 2021. ",". ")&amp;IF(AD30=0,"","Dans votre cas, l'aide est de "&amp;ROUND(AB30,0)&amp;" €.")),"")</f>
        <v xml:space="preserve">Vous ne pouvez pas bénéficier de l'aide, les conditions ne sont pas respectées. </v>
      </c>
      <c r="D102" s="505"/>
      <c r="E102" s="505"/>
      <c r="F102" s="505"/>
      <c r="G102" s="505"/>
      <c r="H102" s="505"/>
      <c r="I102" s="505"/>
      <c r="J102" s="505"/>
      <c r="K102" s="505"/>
      <c r="L102" s="505"/>
      <c r="M102" s="505"/>
      <c r="N102" s="505"/>
      <c r="O102" s="505"/>
      <c r="P102" s="506"/>
    </row>
    <row r="103" spans="2:16">
      <c r="C103" s="507"/>
      <c r="D103" s="508"/>
      <c r="E103" s="508"/>
      <c r="F103" s="508"/>
      <c r="G103" s="508"/>
      <c r="H103" s="508"/>
      <c r="I103" s="508"/>
      <c r="J103" s="508"/>
      <c r="K103" s="508"/>
      <c r="L103" s="508"/>
      <c r="M103" s="508"/>
      <c r="N103" s="508"/>
      <c r="O103" s="508"/>
      <c r="P103" s="509"/>
    </row>
    <row r="104" spans="2:16" ht="15.75" thickBot="1">
      <c r="C104" s="510"/>
      <c r="D104" s="511"/>
      <c r="E104" s="511"/>
      <c r="F104" s="511"/>
      <c r="G104" s="511"/>
      <c r="H104" s="511"/>
      <c r="I104" s="511"/>
      <c r="J104" s="511"/>
      <c r="K104" s="511"/>
      <c r="L104" s="511"/>
      <c r="M104" s="511"/>
      <c r="N104" s="511"/>
      <c r="O104" s="511"/>
      <c r="P104" s="512"/>
    </row>
    <row r="105" spans="2:16" ht="15.75">
      <c r="C105" s="341"/>
      <c r="D105" s="341"/>
      <c r="E105" s="341"/>
      <c r="F105" s="341"/>
      <c r="G105" s="341"/>
      <c r="H105" s="341"/>
      <c r="I105" s="341"/>
      <c r="J105" s="341"/>
      <c r="K105" s="341"/>
      <c r="L105" s="341"/>
      <c r="M105" s="341"/>
      <c r="N105" s="341"/>
      <c r="O105" s="341"/>
      <c r="P105" s="341"/>
    </row>
    <row r="107" spans="2:16" ht="16.5" thickBot="1">
      <c r="B107" s="222"/>
      <c r="C107" s="433" t="s">
        <v>417</v>
      </c>
      <c r="D107" s="433"/>
      <c r="E107" s="433"/>
      <c r="F107" s="433"/>
      <c r="G107" s="433"/>
      <c r="H107" s="433"/>
      <c r="I107" s="433"/>
      <c r="J107" s="222"/>
      <c r="K107" s="222"/>
      <c r="L107" s="222"/>
      <c r="M107" s="222"/>
      <c r="N107" s="222"/>
      <c r="O107" s="222"/>
      <c r="P107" s="222"/>
    </row>
    <row r="108" spans="2:16" ht="15.75">
      <c r="B108" s="63"/>
      <c r="C108" s="103"/>
      <c r="D108" s="24"/>
      <c r="E108" s="24"/>
      <c r="F108" s="24"/>
      <c r="G108" s="24"/>
      <c r="H108" s="24"/>
      <c r="I108" s="103"/>
      <c r="J108" s="1"/>
      <c r="K108" s="1"/>
      <c r="L108" s="1"/>
      <c r="M108" s="1"/>
      <c r="N108" s="1"/>
      <c r="O108" s="1"/>
      <c r="P108" s="1"/>
    </row>
    <row r="109" spans="2:16" ht="15.75">
      <c r="B109" s="103"/>
      <c r="C109" s="60"/>
      <c r="D109" s="335"/>
      <c r="E109" s="335"/>
      <c r="F109" s="335"/>
      <c r="G109" s="335"/>
      <c r="H109" s="335"/>
      <c r="I109" s="335"/>
      <c r="J109" s="335"/>
      <c r="K109" s="335"/>
      <c r="L109" s="335"/>
      <c r="M109" s="335"/>
      <c r="N109" s="335"/>
      <c r="O109" s="335"/>
    </row>
    <row r="110" spans="2:16" ht="15.75">
      <c r="B110" s="103"/>
      <c r="C110" s="551" t="str">
        <f>IFERROR(IF(AND(1-('Mon Entreprise'!M101+'Mon Entreprise'!M103)/('Mon Entreprise'!I101+'Mon Entreprise'!I103)&gt;=0.5,OR('Mes Aides'!AB378="OUI",'Mes Aides'!AB379="OUI",'Mes Aides'!AB380="OUI",'Mes Aides'!AB381=TRUE,'Mes Aides'!AB382=TRUE)),"L'entreprises fait l’objet d’une interdiction d’accueil du public ou appartenant aux secteurs mentionnés en annexe 1, 2 (S1 et S1 bis), 3"&amp;" ou ayant au moins un de leurs magasins de vente situé dans un centre commercial de plus de 10 000 m2, faisant l’objet d’une interdiction d’accueil du public. Elle doit également répondre aux conditions suivantes :","L'entreprises ne fait pas l’objet d’une interdiction d’accueil du public ou appartenant aux secteurs mentionnés en annexe 1 et 2 (S1 et S1 bis) "&amp;"ou ayant au moins un de leurs magasins de vente situé dans un centre commercial de plus de 10 000 m2, faisant l’objet d’une interdiction d’accueil du public."),"L'onglet 'Mon entreprise' n'a pas été entièrement complété.")</f>
        <v>L'onglet 'Mon entreprise' n'a pas été entièrement complété.</v>
      </c>
      <c r="D110" s="551"/>
      <c r="E110" s="551"/>
      <c r="F110" s="551"/>
      <c r="G110" s="551"/>
      <c r="H110" s="551"/>
      <c r="I110" s="551"/>
      <c r="J110" s="551"/>
      <c r="K110" s="551"/>
      <c r="L110" s="551"/>
      <c r="M110" s="551"/>
      <c r="N110" s="551"/>
      <c r="O110" s="551"/>
      <c r="P110" s="551"/>
    </row>
    <row r="111" spans="2:16" ht="15" customHeight="1">
      <c r="C111" s="551"/>
      <c r="D111" s="551"/>
      <c r="E111" s="551"/>
      <c r="F111" s="551"/>
      <c r="G111" s="551"/>
      <c r="H111" s="551"/>
      <c r="I111" s="551"/>
      <c r="J111" s="551"/>
      <c r="K111" s="551"/>
      <c r="L111" s="551"/>
      <c r="M111" s="551"/>
      <c r="N111" s="551"/>
      <c r="O111" s="551"/>
      <c r="P111" s="551"/>
    </row>
    <row r="112" spans="2:16" ht="15" customHeight="1">
      <c r="C112" s="551"/>
      <c r="D112" s="551"/>
      <c r="E112" s="551"/>
      <c r="F112" s="551"/>
      <c r="G112" s="551"/>
      <c r="H112" s="551"/>
      <c r="I112" s="551"/>
      <c r="J112" s="551"/>
      <c r="K112" s="551"/>
      <c r="L112" s="551"/>
      <c r="M112" s="551"/>
      <c r="N112" s="551"/>
      <c r="O112" s="551"/>
      <c r="P112" s="551"/>
    </row>
    <row r="113" spans="3:16">
      <c r="C113" s="285" t="str">
        <f>IF('Mon Entreprise'!K8&lt;=Annexes!O16,"þ","ý")</f>
        <v>þ</v>
      </c>
      <c r="D113" s="286" t="s">
        <v>446</v>
      </c>
      <c r="E113" s="40"/>
    </row>
    <row r="114" spans="3:16">
      <c r="C114" s="285" t="str">
        <f>IF('Mes Aides'!AB198&gt;=0.1,"þ","ý")</f>
        <v>ý</v>
      </c>
      <c r="D114" s="286" t="s">
        <v>363</v>
      </c>
      <c r="E114" s="40"/>
    </row>
    <row r="115" spans="3:16">
      <c r="C115" s="285" t="str">
        <f>IF(OR('Mon Entreprise'!I71&gt;=12000000,'Mon Entreprise'!I103&gt;=1000000,Q16&gt;=12000000),"þ","ý")</f>
        <v>ý</v>
      </c>
      <c r="D115" s="286" t="s">
        <v>364</v>
      </c>
      <c r="E115" s="40"/>
    </row>
    <row r="116" spans="3:16">
      <c r="C116" s="285" t="str">
        <f>IF('Mes Aides'!AB368&gt;=0.5,"þ","ý")</f>
        <v>ý</v>
      </c>
      <c r="D116" s="286" t="s">
        <v>449</v>
      </c>
      <c r="E116" s="40"/>
    </row>
    <row r="117" spans="3:16">
      <c r="C117" s="285" t="str">
        <f>IF((M35+P35)/2&lt;0,"þ","ý")</f>
        <v>ý</v>
      </c>
      <c r="D117" s="286" t="s">
        <v>450</v>
      </c>
      <c r="E117" s="40"/>
    </row>
    <row r="119" spans="3:16">
      <c r="C119" s="503" t="str">
        <f>IF(AND(C113=AA23,C114=AA23,C115=AA23,C116=AA23,C117=AA23),"L'entreprise remplie l'ensemble des conditions pour obtenir l'aide exceptionnelle pour la prise en charge des coûts fixes.",IF(AND(C113=AA23,C117=AA23,OR(C114=AA24,C115=AA24,C116=AA24),AND(Annexes!V6&gt;=Annexes!X6,Annexes!V6&lt;=Annexes!X7)),"L'entreprise ne remplie pas les conditions de CA mais fait partie des entreprises des secteurs sans critères pour obtenir l'aide exceptionnelle pour la prise en charge des coûts fixes.",IF(AND(OR(C113=AA24,C117=AA24),AND(Annexes!V6&gt;=Annexes!X6,Annexes!V6&lt;=Annexes!X7)),"L'entreprise fait partie des secteurs sans critère pour obtenir l'aide, mais elle ne remplie pas les deux autres conditions pour obtenir l'aide exceptionnelle pour la prise en charge des coûts fixes.","L'entreprise ne remplie pas l'ensemble des conditions pour obtenir l'aide exceptionnelle pour la prise en charge des coûts fixes.")))</f>
        <v>L'entreprise ne remplie pas l'ensemble des conditions pour obtenir l'aide exceptionnelle pour la prise en charge des coûts fixes.</v>
      </c>
      <c r="D119" s="503"/>
      <c r="E119" s="503"/>
      <c r="F119" s="503"/>
      <c r="G119" s="503"/>
      <c r="H119" s="503"/>
      <c r="I119" s="503"/>
      <c r="J119" s="503"/>
      <c r="K119" s="503"/>
      <c r="L119" s="503"/>
      <c r="M119" s="503"/>
      <c r="N119" s="503"/>
      <c r="O119" s="503"/>
      <c r="P119" s="503"/>
    </row>
    <row r="120" spans="3:16">
      <c r="C120" s="503"/>
      <c r="D120" s="503"/>
      <c r="E120" s="503"/>
      <c r="F120" s="503"/>
      <c r="G120" s="503"/>
      <c r="H120" s="503"/>
      <c r="I120" s="503"/>
      <c r="J120" s="503"/>
      <c r="K120" s="503"/>
      <c r="L120" s="503"/>
      <c r="M120" s="503"/>
      <c r="N120" s="503"/>
      <c r="O120" s="503"/>
      <c r="P120" s="503"/>
    </row>
    <row r="122" spans="3:16">
      <c r="C122" s="287" t="s">
        <v>371</v>
      </c>
      <c r="D122" s="288"/>
    </row>
    <row r="123" spans="3:16" ht="15.75" thickBot="1"/>
    <row r="124" spans="3:16">
      <c r="C124" s="504" t="str">
        <f>IFERROR(IF(AD31=0,"Vous ne pouvez pas bénéficier de l'aide, les conditions ne sont pas respectées",IF(AD31=1,IF(AND(G16&gt;=50,K16&gt;=10000000),"L'entreprise à plus de 50 salariés et un bilan total supérieur à 10 M€, le dispositif couvre 70 % des pertes d'exploitation","L'entreprise à moins de 50 salariés ou un bilan de moins de 10 M€, le dispositif couvre 90 % des pertes d'exploitation")))&amp;IF(AD31=0,". ",IF(AC31&gt;=10000000,", cependant le plafond de 10 M€ est déjà atteint pour l'année 2021. ",". ")&amp;IF(AD31=0,"","Dans votre cas, l'aide est de "&amp;ROUND(AB31,0)&amp;" €.")),"")</f>
        <v xml:space="preserve">Vous ne pouvez pas bénéficier de l'aide, les conditions ne sont pas respectées. </v>
      </c>
      <c r="D124" s="505"/>
      <c r="E124" s="505"/>
      <c r="F124" s="505"/>
      <c r="G124" s="505"/>
      <c r="H124" s="505"/>
      <c r="I124" s="505"/>
      <c r="J124" s="505"/>
      <c r="K124" s="505"/>
      <c r="L124" s="505"/>
      <c r="M124" s="505"/>
      <c r="N124" s="505"/>
      <c r="O124" s="505"/>
      <c r="P124" s="506"/>
    </row>
    <row r="125" spans="3:16">
      <c r="C125" s="507"/>
      <c r="D125" s="508"/>
      <c r="E125" s="508"/>
      <c r="F125" s="508"/>
      <c r="G125" s="508"/>
      <c r="H125" s="508"/>
      <c r="I125" s="508"/>
      <c r="J125" s="508"/>
      <c r="K125" s="508"/>
      <c r="L125" s="508"/>
      <c r="M125" s="508"/>
      <c r="N125" s="508"/>
      <c r="O125" s="508"/>
      <c r="P125" s="509"/>
    </row>
    <row r="126" spans="3:16" ht="15.75" thickBot="1">
      <c r="C126" s="510"/>
      <c r="D126" s="511"/>
      <c r="E126" s="511"/>
      <c r="F126" s="511"/>
      <c r="G126" s="511"/>
      <c r="H126" s="511"/>
      <c r="I126" s="511"/>
      <c r="J126" s="511"/>
      <c r="K126" s="511"/>
      <c r="L126" s="511"/>
      <c r="M126" s="511"/>
      <c r="N126" s="511"/>
      <c r="O126" s="511"/>
      <c r="P126" s="512"/>
    </row>
    <row r="127" spans="3:16" ht="15.75">
      <c r="C127" s="341"/>
      <c r="D127" s="341"/>
      <c r="E127" s="341"/>
      <c r="F127" s="341"/>
      <c r="G127" s="341"/>
      <c r="H127" s="341"/>
      <c r="I127" s="341"/>
      <c r="J127" s="341"/>
      <c r="K127" s="341"/>
      <c r="L127" s="341"/>
      <c r="M127" s="341"/>
      <c r="N127" s="341"/>
      <c r="O127" s="341"/>
      <c r="P127" s="341"/>
    </row>
    <row r="129" spans="2:16" ht="16.5" thickBot="1">
      <c r="B129" s="221"/>
      <c r="C129" s="433" t="s">
        <v>418</v>
      </c>
      <c r="D129" s="433"/>
      <c r="E129" s="433"/>
      <c r="F129" s="433"/>
      <c r="G129" s="433"/>
      <c r="H129" s="433"/>
      <c r="I129" s="433"/>
      <c r="J129" s="222"/>
      <c r="K129" s="222"/>
      <c r="L129" s="222"/>
      <c r="M129" s="222"/>
      <c r="N129" s="222"/>
      <c r="O129" s="222"/>
      <c r="P129" s="222"/>
    </row>
    <row r="130" spans="2:16">
      <c r="B130" s="319"/>
      <c r="I130" s="319"/>
    </row>
    <row r="131" spans="2:16">
      <c r="B131" s="1"/>
      <c r="C131" s="320" t="s">
        <v>420</v>
      </c>
      <c r="I131" s="1"/>
    </row>
    <row r="133" spans="2:16" ht="16.5" thickBot="1">
      <c r="B133" s="221"/>
      <c r="C133" s="433" t="s">
        <v>419</v>
      </c>
      <c r="D133" s="433"/>
      <c r="E133" s="433"/>
      <c r="F133" s="433"/>
      <c r="G133" s="433"/>
      <c r="H133" s="433"/>
      <c r="I133" s="433"/>
      <c r="J133" s="222"/>
      <c r="K133" s="222"/>
      <c r="L133" s="222"/>
      <c r="M133" s="222"/>
      <c r="N133" s="222"/>
      <c r="O133" s="222"/>
      <c r="P133" s="222"/>
    </row>
    <row r="134" spans="2:16">
      <c r="B134" s="319"/>
      <c r="I134" s="319"/>
    </row>
    <row r="135" spans="2:16">
      <c r="C135" s="320" t="s">
        <v>420</v>
      </c>
    </row>
    <row r="140" spans="2:16">
      <c r="B140" s="326" t="s">
        <v>69</v>
      </c>
    </row>
  </sheetData>
  <sheetProtection password="E733" sheet="1" objects="1" scenarios="1"/>
  <mergeCells count="89">
    <mergeCell ref="Q16:R16"/>
    <mergeCell ref="N16:P16"/>
    <mergeCell ref="C18:G18"/>
    <mergeCell ref="C107:I107"/>
    <mergeCell ref="C129:I129"/>
    <mergeCell ref="C44:P46"/>
    <mergeCell ref="C41:I41"/>
    <mergeCell ref="C35:D36"/>
    <mergeCell ref="C22:D22"/>
    <mergeCell ref="G32:H32"/>
    <mergeCell ref="M35:N36"/>
    <mergeCell ref="C53:P54"/>
    <mergeCell ref="I16:J16"/>
    <mergeCell ref="K16:L16"/>
    <mergeCell ref="C58:P60"/>
    <mergeCell ref="J35:K36"/>
    <mergeCell ref="C133:I133"/>
    <mergeCell ref="C63:I63"/>
    <mergeCell ref="C66:P68"/>
    <mergeCell ref="C75:P76"/>
    <mergeCell ref="C80:P82"/>
    <mergeCell ref="C85:I85"/>
    <mergeCell ref="C88:P90"/>
    <mergeCell ref="C97:P98"/>
    <mergeCell ref="C102:P104"/>
    <mergeCell ref="C110:P112"/>
    <mergeCell ref="C11:W11"/>
    <mergeCell ref="C13:W14"/>
    <mergeCell ref="C16:F16"/>
    <mergeCell ref="P32:Q32"/>
    <mergeCell ref="P26:Q26"/>
    <mergeCell ref="M32:N32"/>
    <mergeCell ref="M28:N28"/>
    <mergeCell ref="M26:N26"/>
    <mergeCell ref="M24:N24"/>
    <mergeCell ref="M22:N22"/>
    <mergeCell ref="C32:D33"/>
    <mergeCell ref="C30:D31"/>
    <mergeCell ref="C28:D29"/>
    <mergeCell ref="V26:W26"/>
    <mergeCell ref="G20:H20"/>
    <mergeCell ref="S32:T32"/>
    <mergeCell ref="I8:K8"/>
    <mergeCell ref="L8:M8"/>
    <mergeCell ref="N8:Q8"/>
    <mergeCell ref="I2:K4"/>
    <mergeCell ref="L2:Q4"/>
    <mergeCell ref="I6:K6"/>
    <mergeCell ref="L6:Q6"/>
    <mergeCell ref="S26:T26"/>
    <mergeCell ref="C26:D27"/>
    <mergeCell ref="C24:D25"/>
    <mergeCell ref="G28:H28"/>
    <mergeCell ref="G26:H26"/>
    <mergeCell ref="V20:W20"/>
    <mergeCell ref="S20:T20"/>
    <mergeCell ref="P20:Q20"/>
    <mergeCell ref="M20:N20"/>
    <mergeCell ref="J20:K20"/>
    <mergeCell ref="V35:W36"/>
    <mergeCell ref="S35:T36"/>
    <mergeCell ref="P35:Q36"/>
    <mergeCell ref="P30:Q30"/>
    <mergeCell ref="P28:Q28"/>
    <mergeCell ref="V32:W32"/>
    <mergeCell ref="V30:W30"/>
    <mergeCell ref="V28:W28"/>
    <mergeCell ref="S30:T30"/>
    <mergeCell ref="S28:T28"/>
    <mergeCell ref="J22:K22"/>
    <mergeCell ref="G22:H22"/>
    <mergeCell ref="G24:H24"/>
    <mergeCell ref="V22:W22"/>
    <mergeCell ref="S24:T24"/>
    <mergeCell ref="S22:T22"/>
    <mergeCell ref="P24:Q24"/>
    <mergeCell ref="P22:Q22"/>
    <mergeCell ref="V24:W24"/>
    <mergeCell ref="J28:K28"/>
    <mergeCell ref="J26:K26"/>
    <mergeCell ref="G30:H30"/>
    <mergeCell ref="G35:H36"/>
    <mergeCell ref="J24:K24"/>
    <mergeCell ref="C119:P120"/>
    <mergeCell ref="C124:P126"/>
    <mergeCell ref="E35:F36"/>
    <mergeCell ref="J32:K32"/>
    <mergeCell ref="J30:K30"/>
    <mergeCell ref="M30:N30"/>
  </mergeCells>
  <conditionalFormatting sqref="AA23">
    <cfRule type="expression" dxfId="14" priority="18">
      <formula>"$C$40=$R$39"</formula>
    </cfRule>
  </conditionalFormatting>
  <conditionalFormatting sqref="C48">
    <cfRule type="expression" dxfId="13" priority="16" stopIfTrue="1">
      <formula>"$R$38"</formula>
    </cfRule>
    <cfRule type="expression" dxfId="12" priority="17" stopIfTrue="1">
      <formula>"$R$38"</formula>
    </cfRule>
  </conditionalFormatting>
  <conditionalFormatting sqref="C70">
    <cfRule type="expression" dxfId="11" priority="11" stopIfTrue="1">
      <formula>"$R$38"</formula>
    </cfRule>
    <cfRule type="expression" dxfId="10" priority="12" stopIfTrue="1">
      <formula>"$R$38"</formula>
    </cfRule>
  </conditionalFormatting>
  <conditionalFormatting sqref="C47:C51 C69:C73">
    <cfRule type="cellIs" dxfId="9" priority="19" operator="equal">
      <formula>$AA$23</formula>
    </cfRule>
    <cfRule type="cellIs" dxfId="8" priority="20" operator="equal">
      <formula>$AA$24</formula>
    </cfRule>
  </conditionalFormatting>
  <conditionalFormatting sqref="C92">
    <cfRule type="expression" dxfId="7" priority="5" stopIfTrue="1">
      <formula>"$R$38"</formula>
    </cfRule>
    <cfRule type="expression" dxfId="6" priority="6" stopIfTrue="1">
      <formula>"$R$38"</formula>
    </cfRule>
  </conditionalFormatting>
  <conditionalFormatting sqref="C91:C95">
    <cfRule type="cellIs" dxfId="5" priority="7" operator="equal">
      <formula>$AA$23</formula>
    </cfRule>
    <cfRule type="cellIs" dxfId="4" priority="8" operator="equal">
      <formula>$AA$24</formula>
    </cfRule>
  </conditionalFormatting>
  <conditionalFormatting sqref="C114">
    <cfRule type="expression" dxfId="3" priority="1" stopIfTrue="1">
      <formula>"$R$38"</formula>
    </cfRule>
    <cfRule type="expression" dxfId="2" priority="2" stopIfTrue="1">
      <formula>"$R$38"</formula>
    </cfRule>
  </conditionalFormatting>
  <conditionalFormatting sqref="C113:C117">
    <cfRule type="cellIs" dxfId="1" priority="3" operator="equal">
      <formula>$AA$23</formula>
    </cfRule>
    <cfRule type="cellIs" dxfId="0" priority="4" operator="equal">
      <formula>$AA$24</formula>
    </cfRule>
  </conditionalFormatting>
  <pageMargins left="0.7" right="0.7" top="0.75" bottom="0.75" header="0.3" footer="0.3"/>
  <pageSetup paperSize="9" scale="47" fitToWidth="0" fitToHeight="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6164" r:id="rId4" name="Drop Down 20">
              <controlPr defaultSize="0" autoLine="0" autoPict="0">
                <anchor moveWithCells="1">
                  <from>
                    <xdr:col>7</xdr:col>
                    <xdr:colOff>0</xdr:colOff>
                    <xdr:row>17</xdr:row>
                    <xdr:rowOff>0</xdr:rowOff>
                  </from>
                  <to>
                    <xdr:col>18</xdr:col>
                    <xdr:colOff>9525</xdr:colOff>
                    <xdr:row>18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Z140"/>
  <sheetViews>
    <sheetView topLeftCell="E10" workbookViewId="0">
      <selection activeCell="M24" sqref="M24"/>
    </sheetView>
  </sheetViews>
  <sheetFormatPr baseColWidth="10" defaultRowHeight="15" customHeight="1"/>
  <cols>
    <col min="1" max="1" width="11.42578125" customWidth="1"/>
    <col min="2" max="2" width="13.85546875" customWidth="1"/>
    <col min="4" max="4" width="29.85546875" style="5" customWidth="1"/>
    <col min="5" max="5" width="16.28515625" customWidth="1"/>
    <col min="6" max="6" width="5.42578125" customWidth="1"/>
    <col min="7" max="7" width="4.28515625" customWidth="1"/>
    <col min="12" max="12" width="17.85546875" bestFit="1" customWidth="1"/>
    <col min="20" max="20" width="42.7109375" customWidth="1"/>
    <col min="23" max="23" width="3.28515625" bestFit="1" customWidth="1"/>
    <col min="24" max="24" width="4.85546875" customWidth="1"/>
  </cols>
  <sheetData>
    <row r="2" spans="2:24" ht="15" customHeight="1">
      <c r="I2" t="s">
        <v>13</v>
      </c>
    </row>
    <row r="3" spans="2:24" ht="15" customHeight="1">
      <c r="B3" t="s">
        <v>0</v>
      </c>
      <c r="D3" s="5" t="s">
        <v>1</v>
      </c>
      <c r="I3" t="s">
        <v>10</v>
      </c>
      <c r="J3" t="s">
        <v>11</v>
      </c>
    </row>
    <row r="4" spans="2:24" ht="15" customHeight="1">
      <c r="B4" s="225" t="s">
        <v>39</v>
      </c>
      <c r="C4" s="225" t="s">
        <v>7</v>
      </c>
      <c r="D4" s="226" t="s">
        <v>40</v>
      </c>
      <c r="E4" t="s">
        <v>7</v>
      </c>
      <c r="I4">
        <v>0</v>
      </c>
      <c r="J4">
        <v>0</v>
      </c>
      <c r="L4" t="s">
        <v>2</v>
      </c>
      <c r="M4">
        <v>1</v>
      </c>
      <c r="O4" s="526" t="s">
        <v>103</v>
      </c>
      <c r="P4" s="526"/>
      <c r="T4" t="s">
        <v>358</v>
      </c>
    </row>
    <row r="5" spans="2:24" ht="15" customHeight="1">
      <c r="B5" s="32" t="s">
        <v>126</v>
      </c>
      <c r="C5" s="225" t="s">
        <v>7</v>
      </c>
      <c r="D5" s="227" t="s">
        <v>238</v>
      </c>
      <c r="E5" s="197" t="s">
        <v>0</v>
      </c>
      <c r="F5">
        <v>1</v>
      </c>
      <c r="G5" t="s">
        <v>105</v>
      </c>
      <c r="H5" s="196">
        <v>2</v>
      </c>
      <c r="I5">
        <v>1</v>
      </c>
      <c r="J5">
        <v>1</v>
      </c>
      <c r="O5">
        <v>1500</v>
      </c>
      <c r="P5">
        <v>0.8</v>
      </c>
      <c r="T5" t="s">
        <v>366</v>
      </c>
    </row>
    <row r="6" spans="2:24" ht="15" customHeight="1">
      <c r="B6" s="32" t="s">
        <v>127</v>
      </c>
      <c r="C6" s="225" t="s">
        <v>7</v>
      </c>
      <c r="D6" s="227" t="s">
        <v>240</v>
      </c>
      <c r="E6" s="197" t="s">
        <v>7</v>
      </c>
      <c r="G6" t="s">
        <v>106</v>
      </c>
      <c r="H6" s="196">
        <v>78</v>
      </c>
      <c r="I6">
        <v>2</v>
      </c>
      <c r="J6">
        <v>2</v>
      </c>
      <c r="L6" t="s">
        <v>3</v>
      </c>
      <c r="M6">
        <v>1</v>
      </c>
      <c r="O6">
        <v>10000</v>
      </c>
      <c r="P6">
        <v>0.6</v>
      </c>
      <c r="T6" s="282" t="s">
        <v>423</v>
      </c>
      <c r="V6">
        <v>1</v>
      </c>
      <c r="W6" t="s">
        <v>105</v>
      </c>
      <c r="X6">
        <v>2</v>
      </c>
    </row>
    <row r="7" spans="2:24" ht="15" customHeight="1">
      <c r="B7" s="32" t="s">
        <v>128</v>
      </c>
      <c r="C7" s="225" t="s">
        <v>7</v>
      </c>
      <c r="D7" s="228" t="s">
        <v>196</v>
      </c>
      <c r="E7" s="197" t="s">
        <v>1</v>
      </c>
      <c r="F7">
        <v>1</v>
      </c>
      <c r="G7" t="s">
        <v>105</v>
      </c>
      <c r="H7" s="196">
        <v>2</v>
      </c>
      <c r="I7">
        <v>3</v>
      </c>
      <c r="J7">
        <v>3</v>
      </c>
      <c r="O7">
        <v>333</v>
      </c>
      <c r="T7" s="282" t="s">
        <v>424</v>
      </c>
      <c r="W7" t="s">
        <v>106</v>
      </c>
      <c r="X7">
        <v>9</v>
      </c>
    </row>
    <row r="8" spans="2:24" ht="15" customHeight="1">
      <c r="B8" s="32" t="s">
        <v>129</v>
      </c>
      <c r="C8" s="225" t="s">
        <v>7</v>
      </c>
      <c r="D8" s="228" t="s">
        <v>197</v>
      </c>
      <c r="E8" t="s">
        <v>7</v>
      </c>
      <c r="G8" t="s">
        <v>106</v>
      </c>
      <c r="H8" s="196">
        <v>134</v>
      </c>
      <c r="I8">
        <v>4</v>
      </c>
      <c r="J8">
        <v>4</v>
      </c>
      <c r="O8">
        <v>200000</v>
      </c>
      <c r="T8" s="282" t="s">
        <v>425</v>
      </c>
    </row>
    <row r="9" spans="2:24" ht="15" customHeight="1">
      <c r="B9" s="32" t="s">
        <v>130</v>
      </c>
      <c r="C9" s="225" t="s">
        <v>7</v>
      </c>
      <c r="D9" s="228" t="s">
        <v>198</v>
      </c>
      <c r="E9" t="s">
        <v>7</v>
      </c>
      <c r="I9">
        <v>5</v>
      </c>
      <c r="J9">
        <v>5</v>
      </c>
      <c r="L9" t="s">
        <v>11</v>
      </c>
      <c r="M9" t="b">
        <v>0</v>
      </c>
      <c r="T9" s="282" t="s">
        <v>426</v>
      </c>
    </row>
    <row r="10" spans="2:24" ht="15" customHeight="1">
      <c r="B10" s="32" t="s">
        <v>131</v>
      </c>
      <c r="C10" s="225" t="s">
        <v>7</v>
      </c>
      <c r="D10" s="228" t="s">
        <v>199</v>
      </c>
      <c r="E10" t="s">
        <v>7</v>
      </c>
      <c r="I10">
        <v>6</v>
      </c>
      <c r="J10">
        <v>6</v>
      </c>
      <c r="T10" s="282" t="s">
        <v>427</v>
      </c>
    </row>
    <row r="11" spans="2:24" ht="15" customHeight="1">
      <c r="B11" s="32" t="s">
        <v>132</v>
      </c>
      <c r="C11" s="225" t="s">
        <v>7</v>
      </c>
      <c r="D11" s="227" t="s">
        <v>241</v>
      </c>
      <c r="E11" t="s">
        <v>7</v>
      </c>
      <c r="J11">
        <v>7</v>
      </c>
      <c r="L11" t="s">
        <v>91</v>
      </c>
      <c r="M11" t="b">
        <v>0</v>
      </c>
      <c r="O11" s="2">
        <v>43900</v>
      </c>
      <c r="T11" s="282" t="s">
        <v>428</v>
      </c>
    </row>
    <row r="12" spans="2:24" ht="15" customHeight="1">
      <c r="B12" s="32" t="s">
        <v>133</v>
      </c>
      <c r="C12" s="225" t="s">
        <v>7</v>
      </c>
      <c r="D12" s="227" t="s">
        <v>239</v>
      </c>
      <c r="E12" t="s">
        <v>7</v>
      </c>
      <c r="J12">
        <v>8</v>
      </c>
      <c r="O12" s="2"/>
      <c r="T12" s="282" t="s">
        <v>429</v>
      </c>
    </row>
    <row r="13" spans="2:24" ht="15" customHeight="1">
      <c r="B13" s="32" t="s">
        <v>134</v>
      </c>
      <c r="C13" s="225" t="s">
        <v>7</v>
      </c>
      <c r="D13" s="227" t="s">
        <v>242</v>
      </c>
      <c r="E13" t="s">
        <v>7</v>
      </c>
      <c r="J13">
        <v>9</v>
      </c>
      <c r="L13" t="s">
        <v>92</v>
      </c>
      <c r="M13" t="b">
        <v>0</v>
      </c>
      <c r="O13" s="2" t="s">
        <v>5</v>
      </c>
      <c r="T13" s="282" t="s">
        <v>430</v>
      </c>
    </row>
    <row r="14" spans="2:24" ht="15" customHeight="1">
      <c r="B14" s="32" t="s">
        <v>135</v>
      </c>
      <c r="C14" s="225" t="s">
        <v>7</v>
      </c>
      <c r="D14" s="227" t="s">
        <v>243</v>
      </c>
      <c r="E14" t="s">
        <v>7</v>
      </c>
      <c r="J14">
        <v>10</v>
      </c>
      <c r="O14" s="2">
        <v>43466</v>
      </c>
      <c r="Q14" s="2">
        <v>43831</v>
      </c>
      <c r="R14" s="2"/>
    </row>
    <row r="15" spans="2:24" ht="15" customHeight="1">
      <c r="B15" s="33" t="s">
        <v>136</v>
      </c>
      <c r="C15" s="225" t="s">
        <v>7</v>
      </c>
      <c r="D15" s="227" t="s">
        <v>244</v>
      </c>
      <c r="E15" t="s">
        <v>7</v>
      </c>
      <c r="J15">
        <v>11</v>
      </c>
      <c r="L15" t="s">
        <v>93</v>
      </c>
      <c r="M15" t="b">
        <v>0</v>
      </c>
      <c r="Q15" s="2">
        <v>43861</v>
      </c>
      <c r="R15" s="2">
        <v>44227</v>
      </c>
      <c r="S15" s="2"/>
    </row>
    <row r="16" spans="2:24" ht="15" customHeight="1">
      <c r="B16" s="32" t="s">
        <v>137</v>
      </c>
      <c r="C16" s="225" t="s">
        <v>7</v>
      </c>
      <c r="D16" s="228" t="s">
        <v>200</v>
      </c>
      <c r="E16" t="s">
        <v>7</v>
      </c>
      <c r="J16">
        <v>12</v>
      </c>
      <c r="O16" s="2">
        <v>43525</v>
      </c>
      <c r="Q16" s="2">
        <v>43862</v>
      </c>
      <c r="R16" s="2"/>
    </row>
    <row r="17" spans="2:19" ht="15" customHeight="1">
      <c r="B17" s="32" t="s">
        <v>138</v>
      </c>
      <c r="C17" s="225" t="s">
        <v>7</v>
      </c>
      <c r="D17" s="228" t="s">
        <v>201</v>
      </c>
      <c r="E17" t="s">
        <v>7</v>
      </c>
      <c r="J17">
        <v>13</v>
      </c>
      <c r="L17" t="s">
        <v>111</v>
      </c>
      <c r="M17" t="b">
        <v>0</v>
      </c>
      <c r="O17" s="2">
        <v>43539</v>
      </c>
      <c r="Q17" s="2">
        <v>43890</v>
      </c>
      <c r="R17" s="2"/>
    </row>
    <row r="18" spans="2:19" ht="15" customHeight="1">
      <c r="B18" s="34" t="s">
        <v>185</v>
      </c>
      <c r="C18" s="225" t="s">
        <v>7</v>
      </c>
      <c r="D18" s="228" t="s">
        <v>202</v>
      </c>
      <c r="E18" t="s">
        <v>7</v>
      </c>
      <c r="J18">
        <v>14</v>
      </c>
      <c r="Q18" s="2">
        <v>43891</v>
      </c>
      <c r="R18" s="2"/>
    </row>
    <row r="19" spans="2:19" ht="15" customHeight="1">
      <c r="B19" s="32" t="s">
        <v>139</v>
      </c>
      <c r="C19" s="225" t="s">
        <v>7</v>
      </c>
      <c r="D19" s="228" t="s">
        <v>203</v>
      </c>
      <c r="E19" t="s">
        <v>7</v>
      </c>
      <c r="J19">
        <v>15</v>
      </c>
      <c r="L19" t="s">
        <v>301</v>
      </c>
      <c r="M19" t="b">
        <v>0</v>
      </c>
      <c r="Q19" s="2">
        <v>43900</v>
      </c>
      <c r="R19" s="2"/>
    </row>
    <row r="20" spans="2:19" ht="15" customHeight="1">
      <c r="B20" s="32" t="s">
        <v>140</v>
      </c>
      <c r="C20" s="225" t="s">
        <v>7</v>
      </c>
      <c r="D20" s="228" t="s">
        <v>204</v>
      </c>
      <c r="E20" t="s">
        <v>7</v>
      </c>
      <c r="J20">
        <v>16</v>
      </c>
      <c r="O20" s="2">
        <v>43617</v>
      </c>
      <c r="Q20" s="2">
        <v>43905</v>
      </c>
      <c r="R20" s="2"/>
    </row>
    <row r="21" spans="2:19" ht="15" customHeight="1">
      <c r="B21" s="32" t="s">
        <v>141</v>
      </c>
      <c r="C21" s="225" t="s">
        <v>7</v>
      </c>
      <c r="D21" s="228" t="s">
        <v>205</v>
      </c>
      <c r="E21" t="s">
        <v>7</v>
      </c>
      <c r="J21">
        <v>17</v>
      </c>
      <c r="L21" t="s">
        <v>307</v>
      </c>
      <c r="M21" t="b">
        <v>0</v>
      </c>
      <c r="O21" s="2">
        <v>43646</v>
      </c>
      <c r="Q21" s="2">
        <v>44012</v>
      </c>
      <c r="R21" s="2"/>
      <c r="S21" s="2"/>
    </row>
    <row r="22" spans="2:19" ht="15" customHeight="1">
      <c r="B22" s="32" t="s">
        <v>142</v>
      </c>
      <c r="C22" s="225" t="s">
        <v>7</v>
      </c>
      <c r="D22" s="228" t="s">
        <v>206</v>
      </c>
      <c r="E22" t="s">
        <v>7</v>
      </c>
      <c r="J22">
        <v>18</v>
      </c>
      <c r="O22" s="2">
        <v>43647</v>
      </c>
      <c r="Q22" s="2">
        <v>44013</v>
      </c>
      <c r="R22" s="2"/>
    </row>
    <row r="23" spans="2:19" ht="15" customHeight="1">
      <c r="B23" s="32" t="s">
        <v>143</v>
      </c>
      <c r="C23" s="225" t="s">
        <v>7</v>
      </c>
      <c r="D23" s="228" t="s">
        <v>207</v>
      </c>
      <c r="E23" t="s">
        <v>7</v>
      </c>
      <c r="J23">
        <v>19</v>
      </c>
      <c r="L23" t="s">
        <v>314</v>
      </c>
      <c r="M23" t="b">
        <v>0</v>
      </c>
      <c r="Q23" s="2">
        <v>44074</v>
      </c>
      <c r="R23" s="2"/>
    </row>
    <row r="24" spans="2:19" ht="15" customHeight="1">
      <c r="B24" s="32" t="s">
        <v>144</v>
      </c>
      <c r="C24" s="225" t="s">
        <v>7</v>
      </c>
      <c r="D24" s="228" t="s">
        <v>208</v>
      </c>
      <c r="E24" t="s">
        <v>7</v>
      </c>
      <c r="J24">
        <v>20</v>
      </c>
      <c r="L24" t="s">
        <v>452</v>
      </c>
      <c r="M24" t="b">
        <v>0</v>
      </c>
      <c r="O24" s="2">
        <v>43738</v>
      </c>
      <c r="Q24" s="2">
        <v>44104</v>
      </c>
      <c r="R24" s="2"/>
    </row>
    <row r="25" spans="2:19" ht="15" customHeight="1">
      <c r="B25" s="32" t="s">
        <v>145</v>
      </c>
      <c r="C25" s="225" t="s">
        <v>7</v>
      </c>
      <c r="D25" s="228" t="s">
        <v>209</v>
      </c>
      <c r="E25" t="s">
        <v>7</v>
      </c>
      <c r="J25">
        <v>21</v>
      </c>
      <c r="Q25" s="2">
        <v>44105</v>
      </c>
      <c r="R25" s="2"/>
    </row>
    <row r="26" spans="2:19" ht="15" customHeight="1">
      <c r="B26" s="32" t="s">
        <v>146</v>
      </c>
      <c r="C26" s="225" t="s">
        <v>7</v>
      </c>
      <c r="D26" s="228" t="s">
        <v>210</v>
      </c>
      <c r="E26" t="s">
        <v>7</v>
      </c>
      <c r="J26">
        <v>22</v>
      </c>
      <c r="L26" t="s">
        <v>344</v>
      </c>
      <c r="M26" t="b">
        <v>0</v>
      </c>
      <c r="O26" s="2">
        <v>43799</v>
      </c>
      <c r="Q26" s="2">
        <v>44135</v>
      </c>
      <c r="R26" s="2"/>
    </row>
    <row r="27" spans="2:19" ht="15" customHeight="1">
      <c r="B27" s="32" t="s">
        <v>177</v>
      </c>
      <c r="C27" s="225" t="s">
        <v>7</v>
      </c>
      <c r="D27" s="228" t="s">
        <v>211</v>
      </c>
      <c r="E27" t="s">
        <v>7</v>
      </c>
      <c r="J27">
        <v>23</v>
      </c>
      <c r="L27" s="312" t="s">
        <v>385</v>
      </c>
      <c r="M27" t="b">
        <v>0</v>
      </c>
      <c r="O27" s="2">
        <v>43800</v>
      </c>
      <c r="Q27" s="2">
        <v>44165</v>
      </c>
      <c r="R27" s="2"/>
    </row>
    <row r="28" spans="2:19" ht="15" customHeight="1">
      <c r="B28" s="32" t="s">
        <v>147</v>
      </c>
      <c r="C28" s="225" t="s">
        <v>7</v>
      </c>
      <c r="D28" s="228" t="s">
        <v>212</v>
      </c>
      <c r="E28" t="s">
        <v>7</v>
      </c>
      <c r="J28">
        <v>24</v>
      </c>
      <c r="O28" s="2">
        <v>43830</v>
      </c>
      <c r="Q28" s="2">
        <v>44166</v>
      </c>
      <c r="R28" s="2"/>
    </row>
    <row r="29" spans="2:19" ht="15" customHeight="1">
      <c r="B29" s="33" t="s">
        <v>148</v>
      </c>
      <c r="C29" s="225" t="s">
        <v>7</v>
      </c>
      <c r="D29" s="228" t="s">
        <v>213</v>
      </c>
      <c r="E29" t="s">
        <v>7</v>
      </c>
      <c r="J29">
        <v>25</v>
      </c>
      <c r="L29" t="s">
        <v>345</v>
      </c>
      <c r="M29" t="b">
        <v>0</v>
      </c>
      <c r="Q29" s="2">
        <v>44196</v>
      </c>
      <c r="R29" s="2"/>
    </row>
    <row r="30" spans="2:19" ht="15" customHeight="1">
      <c r="B30" s="32" t="s">
        <v>149</v>
      </c>
      <c r="C30" s="225" t="s">
        <v>7</v>
      </c>
      <c r="D30" s="228" t="s">
        <v>214</v>
      </c>
      <c r="E30" t="s">
        <v>7</v>
      </c>
      <c r="J30">
        <v>26</v>
      </c>
      <c r="L30" s="343" t="s">
        <v>440</v>
      </c>
      <c r="M30" t="b">
        <v>0</v>
      </c>
    </row>
    <row r="31" spans="2:19" ht="15" customHeight="1">
      <c r="B31" s="32" t="s">
        <v>150</v>
      </c>
      <c r="C31" s="225" t="s">
        <v>7</v>
      </c>
      <c r="D31" s="228" t="s">
        <v>215</v>
      </c>
      <c r="E31" t="s">
        <v>7</v>
      </c>
      <c r="J31">
        <v>27</v>
      </c>
      <c r="L31" s="343"/>
    </row>
    <row r="32" spans="2:19" ht="15" customHeight="1">
      <c r="B32" s="32" t="s">
        <v>151</v>
      </c>
      <c r="C32" s="225" t="s">
        <v>7</v>
      </c>
      <c r="D32" s="228" t="s">
        <v>216</v>
      </c>
      <c r="E32" t="s">
        <v>7</v>
      </c>
      <c r="J32">
        <v>28</v>
      </c>
      <c r="L32" t="s">
        <v>346</v>
      </c>
      <c r="M32" t="b">
        <v>0</v>
      </c>
    </row>
    <row r="33" spans="2:26" ht="15" customHeight="1">
      <c r="B33" s="32" t="s">
        <v>152</v>
      </c>
      <c r="C33" s="225" t="s">
        <v>7</v>
      </c>
      <c r="D33" s="228" t="s">
        <v>217</v>
      </c>
      <c r="E33" t="s">
        <v>7</v>
      </c>
      <c r="J33">
        <v>29</v>
      </c>
    </row>
    <row r="34" spans="2:26" ht="15" customHeight="1">
      <c r="B34" s="32" t="s">
        <v>153</v>
      </c>
      <c r="C34" s="225" t="s">
        <v>7</v>
      </c>
      <c r="D34" s="228" t="s">
        <v>218</v>
      </c>
      <c r="E34" t="s">
        <v>7</v>
      </c>
      <c r="J34">
        <v>30</v>
      </c>
      <c r="L34" t="s">
        <v>347</v>
      </c>
      <c r="M34" t="b">
        <v>1</v>
      </c>
    </row>
    <row r="35" spans="2:26" ht="15" customHeight="1">
      <c r="B35" s="32" t="s">
        <v>154</v>
      </c>
      <c r="C35" s="225" t="s">
        <v>7</v>
      </c>
      <c r="D35" s="228" t="s">
        <v>219</v>
      </c>
      <c r="E35" t="s">
        <v>7</v>
      </c>
      <c r="J35">
        <v>31</v>
      </c>
    </row>
    <row r="36" spans="2:26" ht="15" customHeight="1">
      <c r="B36" s="32" t="s">
        <v>155</v>
      </c>
      <c r="C36" s="225" t="s">
        <v>7</v>
      </c>
      <c r="D36" s="238" t="s">
        <v>255</v>
      </c>
      <c r="E36" t="s">
        <v>7</v>
      </c>
    </row>
    <row r="37" spans="2:26" ht="15" customHeight="1">
      <c r="B37" s="32" t="s">
        <v>156</v>
      </c>
      <c r="C37" s="225" t="s">
        <v>7</v>
      </c>
      <c r="D37" s="228" t="s">
        <v>220</v>
      </c>
      <c r="E37" t="s">
        <v>7</v>
      </c>
    </row>
    <row r="38" spans="2:26" ht="15" customHeight="1">
      <c r="B38" s="32" t="s">
        <v>157</v>
      </c>
      <c r="C38" s="225" t="s">
        <v>7</v>
      </c>
      <c r="D38" s="228" t="s">
        <v>221</v>
      </c>
      <c r="E38" t="s">
        <v>7</v>
      </c>
    </row>
    <row r="39" spans="2:26" ht="15" customHeight="1">
      <c r="B39" s="32" t="s">
        <v>158</v>
      </c>
      <c r="C39" s="225" t="s">
        <v>7</v>
      </c>
      <c r="D39" s="228" t="s">
        <v>222</v>
      </c>
      <c r="E39" t="s">
        <v>7</v>
      </c>
    </row>
    <row r="40" spans="2:26" ht="15" customHeight="1">
      <c r="B40" s="33" t="s">
        <v>159</v>
      </c>
      <c r="C40" s="225" t="s">
        <v>7</v>
      </c>
      <c r="D40" s="228" t="s">
        <v>223</v>
      </c>
      <c r="E40" t="s">
        <v>7</v>
      </c>
    </row>
    <row r="41" spans="2:26" ht="15" customHeight="1">
      <c r="B41" s="32" t="s">
        <v>186</v>
      </c>
      <c r="C41" s="225" t="s">
        <v>7</v>
      </c>
      <c r="D41" s="228" t="s">
        <v>224</v>
      </c>
      <c r="E41" t="s">
        <v>7</v>
      </c>
    </row>
    <row r="42" spans="2:26" ht="15" customHeight="1">
      <c r="B42" s="33" t="s">
        <v>160</v>
      </c>
      <c r="C42" s="225" t="s">
        <v>7</v>
      </c>
      <c r="D42" s="228" t="s">
        <v>225</v>
      </c>
      <c r="E42" t="s">
        <v>7</v>
      </c>
    </row>
    <row r="43" spans="2:26" ht="15" customHeight="1">
      <c r="B43" s="32" t="s">
        <v>161</v>
      </c>
      <c r="C43" s="225" t="s">
        <v>7</v>
      </c>
      <c r="D43" s="228" t="s">
        <v>226</v>
      </c>
      <c r="E43" t="s">
        <v>7</v>
      </c>
    </row>
    <row r="44" spans="2:26" ht="15" customHeight="1">
      <c r="B44" s="32" t="s">
        <v>162</v>
      </c>
      <c r="C44" s="225" t="s">
        <v>7</v>
      </c>
      <c r="D44" s="229" t="s">
        <v>108</v>
      </c>
      <c r="E44" t="s">
        <v>7</v>
      </c>
    </row>
    <row r="45" spans="2:26" ht="15" customHeight="1">
      <c r="B45" s="32" t="s">
        <v>163</v>
      </c>
      <c r="C45" s="225" t="s">
        <v>7</v>
      </c>
      <c r="D45" s="228" t="s">
        <v>227</v>
      </c>
      <c r="E45" t="s">
        <v>7</v>
      </c>
    </row>
    <row r="46" spans="2:26" ht="15" customHeight="1">
      <c r="B46" s="32" t="s">
        <v>164</v>
      </c>
      <c r="C46" s="225" t="s">
        <v>7</v>
      </c>
      <c r="D46" s="228" t="s">
        <v>228</v>
      </c>
      <c r="E46" t="s">
        <v>7</v>
      </c>
    </row>
    <row r="47" spans="2:26" ht="15" customHeight="1">
      <c r="B47" s="32" t="s">
        <v>165</v>
      </c>
      <c r="C47" s="225" t="s">
        <v>7</v>
      </c>
      <c r="D47" s="228" t="s">
        <v>229</v>
      </c>
      <c r="E47" t="s">
        <v>7</v>
      </c>
      <c r="Z47" t="str">
        <f>IF(Z46&gt;=0.7,IF(Z41="OUI",Annexes!O6,IF(AND(Z42="OUI",Z40&gt;=0.8),"- L'entreprise a subi une perte d'au-moins 70 % en Octobre 2020 et est mentionnée en annexe 2 (S1 bis) du"&amp;" décret 2020-1328 ayant aussi eu une perte de CA d'au moins 80 % entre le 15/03/2020 et le 15/05/2020,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aide")),IF(Z46&gt;=0.5,IF(Z41="OUI","- L'entreprise a subi une perte d'au-moins 50 % en Octobre 2020 et est mentionnée en annexe 1 (S1) du décret 2020-1328, l'entreprise peut bénéficier à ce titre d'une aide plafonné à 10 000 €",IF(AND(Z42="OUI",Z40&gt;=0.8),"- L'entreprise a subi une perte d'au-moins 50 % en Octobre 2020 et est mentionnée en annexe 2 (S1 bis) du décret 2020-1328 ayant aussi eu une perte de CA d'au moins 80 % entre le 15/03/2020 et le 15/05/2020,"&amp;" l'entreprise peut bénéficier à ce titre d'une aide plafonné à 10 000 €","- L'entreprise n'est pas mentionnée en annexe 1 (S1) ou en annexe 2 (S1 bis) du décret 2020-1328 et ayant subi une perte de CA d'au moins 80 % entre le 15/03/2020 et le 15/05/2020, l'entreprise ne peut donc pas bénéficier de cette aide")),"L'entreprise n'a pas subi de perte d'au moins 50 % sur son CA d'Octobre 2020"))</f>
        <v>L'entreprise n'a pas subi de perte d'au moins 50 % sur son CA d'Octobre 2020</v>
      </c>
    </row>
    <row r="48" spans="2:26" ht="15" customHeight="1">
      <c r="B48" s="32" t="s">
        <v>166</v>
      </c>
      <c r="C48" s="225" t="s">
        <v>7</v>
      </c>
      <c r="D48" s="239" t="s">
        <v>256</v>
      </c>
      <c r="E48" t="s">
        <v>7</v>
      </c>
    </row>
    <row r="49" spans="2:5" ht="15" customHeight="1">
      <c r="B49" s="34" t="s">
        <v>187</v>
      </c>
      <c r="C49" s="225" t="s">
        <v>7</v>
      </c>
      <c r="D49" s="230" t="s">
        <v>257</v>
      </c>
      <c r="E49" t="s">
        <v>7</v>
      </c>
    </row>
    <row r="50" spans="2:5" ht="15" customHeight="1">
      <c r="B50" s="34" t="s">
        <v>188</v>
      </c>
      <c r="C50" s="225" t="s">
        <v>7</v>
      </c>
      <c r="D50" s="230" t="s">
        <v>258</v>
      </c>
      <c r="E50" t="s">
        <v>7</v>
      </c>
    </row>
    <row r="51" spans="2:5" ht="15" customHeight="1">
      <c r="B51" s="32" t="s">
        <v>167</v>
      </c>
      <c r="C51" s="225" t="s">
        <v>7</v>
      </c>
      <c r="D51" s="230" t="s">
        <v>259</v>
      </c>
      <c r="E51" t="s">
        <v>7</v>
      </c>
    </row>
    <row r="52" spans="2:5" ht="15" customHeight="1">
      <c r="B52" s="32" t="s">
        <v>168</v>
      </c>
      <c r="C52" s="225" t="s">
        <v>7</v>
      </c>
      <c r="D52" s="230" t="s">
        <v>260</v>
      </c>
      <c r="E52" t="s">
        <v>7</v>
      </c>
    </row>
    <row r="53" spans="2:5" ht="15" customHeight="1">
      <c r="B53" s="32" t="s">
        <v>169</v>
      </c>
      <c r="C53" s="225" t="s">
        <v>7</v>
      </c>
      <c r="D53" s="230" t="s">
        <v>261</v>
      </c>
      <c r="E53" t="s">
        <v>7</v>
      </c>
    </row>
    <row r="54" spans="2:5" ht="15" customHeight="1">
      <c r="B54" s="32" t="s">
        <v>170</v>
      </c>
      <c r="C54" s="225" t="s">
        <v>7</v>
      </c>
      <c r="D54" s="230" t="s">
        <v>262</v>
      </c>
      <c r="E54" t="s">
        <v>7</v>
      </c>
    </row>
    <row r="55" spans="2:5" ht="15" customHeight="1">
      <c r="B55" s="32" t="s">
        <v>171</v>
      </c>
      <c r="C55" s="225" t="s">
        <v>7</v>
      </c>
      <c r="D55" s="230" t="s">
        <v>263</v>
      </c>
      <c r="E55" t="s">
        <v>7</v>
      </c>
    </row>
    <row r="56" spans="2:5" ht="15" customHeight="1">
      <c r="B56" s="33" t="s">
        <v>172</v>
      </c>
      <c r="C56" s="225" t="s">
        <v>7</v>
      </c>
      <c r="D56" s="231" t="s">
        <v>264</v>
      </c>
      <c r="E56" t="s">
        <v>7</v>
      </c>
    </row>
    <row r="57" spans="2:5" ht="15" customHeight="1">
      <c r="B57" s="34" t="s">
        <v>189</v>
      </c>
      <c r="C57" s="225" t="s">
        <v>7</v>
      </c>
      <c r="D57" s="231" t="s">
        <v>265</v>
      </c>
      <c r="E57" t="s">
        <v>7</v>
      </c>
    </row>
    <row r="58" spans="2:5" ht="15" customHeight="1">
      <c r="B58" s="34" t="s">
        <v>190</v>
      </c>
      <c r="C58" s="225" t="s">
        <v>7</v>
      </c>
      <c r="D58" s="231" t="s">
        <v>266</v>
      </c>
      <c r="E58" t="s">
        <v>7</v>
      </c>
    </row>
    <row r="59" spans="2:5" ht="15" customHeight="1">
      <c r="B59" s="34" t="s">
        <v>191</v>
      </c>
      <c r="C59" s="225" t="s">
        <v>7</v>
      </c>
      <c r="D59" s="231" t="s">
        <v>267</v>
      </c>
      <c r="E59" t="s">
        <v>7</v>
      </c>
    </row>
    <row r="60" spans="2:5" ht="15" customHeight="1">
      <c r="B60" s="34" t="s">
        <v>192</v>
      </c>
      <c r="C60" s="225" t="s">
        <v>7</v>
      </c>
      <c r="D60" s="231" t="s">
        <v>268</v>
      </c>
      <c r="E60" t="s">
        <v>7</v>
      </c>
    </row>
    <row r="61" spans="2:5" ht="15" customHeight="1">
      <c r="B61" s="34" t="s">
        <v>193</v>
      </c>
      <c r="C61" s="225" t="s">
        <v>7</v>
      </c>
      <c r="D61" s="231" t="s">
        <v>269</v>
      </c>
      <c r="E61" t="s">
        <v>7</v>
      </c>
    </row>
    <row r="62" spans="2:5" ht="15" customHeight="1">
      <c r="B62" s="34" t="s">
        <v>194</v>
      </c>
      <c r="C62" s="225" t="s">
        <v>7</v>
      </c>
      <c r="D62" s="231" t="s">
        <v>270</v>
      </c>
      <c r="E62" t="s">
        <v>7</v>
      </c>
    </row>
    <row r="63" spans="2:5" ht="15" customHeight="1">
      <c r="B63" s="35" t="s">
        <v>195</v>
      </c>
      <c r="C63" s="225" t="s">
        <v>7</v>
      </c>
      <c r="D63" s="231" t="s">
        <v>271</v>
      </c>
      <c r="E63" t="s">
        <v>7</v>
      </c>
    </row>
    <row r="64" spans="2:5" ht="15" customHeight="1">
      <c r="B64" s="235" t="s">
        <v>173</v>
      </c>
      <c r="C64" s="225" t="s">
        <v>7</v>
      </c>
      <c r="D64" s="231" t="s">
        <v>272</v>
      </c>
      <c r="E64" t="s">
        <v>7</v>
      </c>
    </row>
    <row r="65" spans="2:5" ht="15" customHeight="1">
      <c r="B65" s="236" t="s">
        <v>178</v>
      </c>
      <c r="C65" s="225" t="s">
        <v>7</v>
      </c>
      <c r="D65" s="231" t="s">
        <v>273</v>
      </c>
      <c r="E65" t="s">
        <v>7</v>
      </c>
    </row>
    <row r="66" spans="2:5" ht="15" customHeight="1">
      <c r="B66" s="236" t="s">
        <v>179</v>
      </c>
      <c r="C66" s="225" t="s">
        <v>7</v>
      </c>
      <c r="D66" s="231" t="s">
        <v>274</v>
      </c>
      <c r="E66" t="s">
        <v>7</v>
      </c>
    </row>
    <row r="67" spans="2:5" ht="15" customHeight="1">
      <c r="B67" s="236" t="s">
        <v>180</v>
      </c>
      <c r="C67" s="225" t="s">
        <v>7</v>
      </c>
      <c r="D67" s="231" t="s">
        <v>275</v>
      </c>
      <c r="E67" t="s">
        <v>7</v>
      </c>
    </row>
    <row r="68" spans="2:5" ht="15" customHeight="1">
      <c r="B68" s="236" t="s">
        <v>181</v>
      </c>
      <c r="C68" s="225" t="s">
        <v>7</v>
      </c>
      <c r="D68" s="231" t="s">
        <v>276</v>
      </c>
      <c r="E68" t="s">
        <v>7</v>
      </c>
    </row>
    <row r="69" spans="2:5" ht="15" customHeight="1">
      <c r="B69" s="236" t="s">
        <v>182</v>
      </c>
      <c r="C69" s="225" t="s">
        <v>7</v>
      </c>
      <c r="D69" s="231" t="s">
        <v>277</v>
      </c>
      <c r="E69" t="s">
        <v>7</v>
      </c>
    </row>
    <row r="70" spans="2:5" ht="15" customHeight="1">
      <c r="B70" s="236" t="s">
        <v>183</v>
      </c>
      <c r="C70" s="225" t="s">
        <v>7</v>
      </c>
      <c r="D70" s="231" t="s">
        <v>278</v>
      </c>
      <c r="E70" t="s">
        <v>7</v>
      </c>
    </row>
    <row r="71" spans="2:5" ht="15" customHeight="1">
      <c r="B71" s="236" t="s">
        <v>184</v>
      </c>
      <c r="C71" s="225" t="s">
        <v>7</v>
      </c>
      <c r="D71" s="231" t="s">
        <v>279</v>
      </c>
      <c r="E71" t="s">
        <v>7</v>
      </c>
    </row>
    <row r="72" spans="2:5" ht="15" customHeight="1">
      <c r="B72" s="237" t="s">
        <v>174</v>
      </c>
      <c r="C72" s="225" t="s">
        <v>7</v>
      </c>
      <c r="D72" s="231" t="s">
        <v>280</v>
      </c>
      <c r="E72" t="s">
        <v>7</v>
      </c>
    </row>
    <row r="73" spans="2:5" ht="15" customHeight="1">
      <c r="B73" s="237" t="s">
        <v>230</v>
      </c>
      <c r="C73" s="225" t="s">
        <v>7</v>
      </c>
      <c r="D73" s="231" t="s">
        <v>281</v>
      </c>
      <c r="E73" t="s">
        <v>7</v>
      </c>
    </row>
    <row r="74" spans="2:5" ht="15" customHeight="1">
      <c r="B74" s="237" t="s">
        <v>175</v>
      </c>
      <c r="C74" s="225" t="s">
        <v>7</v>
      </c>
      <c r="D74" s="231" t="s">
        <v>282</v>
      </c>
      <c r="E74" t="s">
        <v>7</v>
      </c>
    </row>
    <row r="75" spans="2:5" ht="15" customHeight="1">
      <c r="B75" s="237" t="s">
        <v>231</v>
      </c>
      <c r="C75" s="225" t="s">
        <v>7</v>
      </c>
      <c r="D75" s="231" t="s">
        <v>283</v>
      </c>
      <c r="E75" t="s">
        <v>7</v>
      </c>
    </row>
    <row r="76" spans="2:5" ht="15" customHeight="1">
      <c r="B76" s="237" t="s">
        <v>176</v>
      </c>
      <c r="C76" s="225" t="s">
        <v>7</v>
      </c>
      <c r="D76" s="231" t="s">
        <v>284</v>
      </c>
      <c r="E76" t="s">
        <v>7</v>
      </c>
    </row>
    <row r="77" spans="2:5" ht="15" customHeight="1">
      <c r="B77" s="237" t="s">
        <v>232</v>
      </c>
      <c r="C77" s="225" t="s">
        <v>7</v>
      </c>
      <c r="D77" s="231" t="s">
        <v>285</v>
      </c>
      <c r="E77" t="s">
        <v>7</v>
      </c>
    </row>
    <row r="78" spans="2:5" ht="15" customHeight="1">
      <c r="B78" s="237" t="s">
        <v>233</v>
      </c>
      <c r="C78" s="225" t="s">
        <v>7</v>
      </c>
      <c r="D78" s="231" t="s">
        <v>286</v>
      </c>
      <c r="E78" t="s">
        <v>7</v>
      </c>
    </row>
    <row r="79" spans="2:5" ht="15" customHeight="1">
      <c r="B79" s="237" t="s">
        <v>234</v>
      </c>
      <c r="C79" s="225" t="s">
        <v>7</v>
      </c>
      <c r="D79" s="231" t="s">
        <v>287</v>
      </c>
      <c r="E79" t="s">
        <v>7</v>
      </c>
    </row>
    <row r="80" spans="2:5" ht="15" customHeight="1">
      <c r="B80" s="237" t="s">
        <v>235</v>
      </c>
      <c r="C80" s="225" t="s">
        <v>7</v>
      </c>
      <c r="D80" s="231" t="s">
        <v>288</v>
      </c>
      <c r="E80" t="s">
        <v>7</v>
      </c>
    </row>
    <row r="81" spans="2:5" ht="15" customHeight="1">
      <c r="B81" s="237" t="s">
        <v>236</v>
      </c>
      <c r="C81" s="225" t="s">
        <v>7</v>
      </c>
      <c r="D81" s="231" t="s">
        <v>289</v>
      </c>
      <c r="E81" t="s">
        <v>7</v>
      </c>
    </row>
    <row r="82" spans="2:5" ht="15" customHeight="1">
      <c r="B82" s="237" t="s">
        <v>237</v>
      </c>
      <c r="C82" s="225" t="s">
        <v>7</v>
      </c>
      <c r="D82" s="229" t="s">
        <v>293</v>
      </c>
      <c r="E82" t="s">
        <v>7</v>
      </c>
    </row>
    <row r="83" spans="2:5" ht="15" customHeight="1">
      <c r="B83" s="225"/>
      <c r="C83" s="225" t="s">
        <v>7</v>
      </c>
      <c r="D83" s="231" t="s">
        <v>290</v>
      </c>
      <c r="E83" t="s">
        <v>7</v>
      </c>
    </row>
    <row r="84" spans="2:5" ht="15" customHeight="1">
      <c r="B84" s="225"/>
      <c r="C84" s="225" t="s">
        <v>7</v>
      </c>
      <c r="D84" s="231" t="s">
        <v>291</v>
      </c>
      <c r="E84" t="s">
        <v>7</v>
      </c>
    </row>
    <row r="85" spans="2:5" ht="15" customHeight="1">
      <c r="B85" s="225"/>
      <c r="C85" s="225" t="s">
        <v>7</v>
      </c>
      <c r="D85" s="231" t="s">
        <v>292</v>
      </c>
      <c r="E85" t="s">
        <v>7</v>
      </c>
    </row>
    <row r="86" spans="2:5" ht="15" customHeight="1">
      <c r="B86" s="225"/>
      <c r="C86" s="225" t="s">
        <v>7</v>
      </c>
      <c r="D86" s="232" t="s">
        <v>245</v>
      </c>
      <c r="E86" t="s">
        <v>7</v>
      </c>
    </row>
    <row r="87" spans="2:5" ht="15" customHeight="1">
      <c r="B87" s="225"/>
      <c r="C87" s="225" t="s">
        <v>7</v>
      </c>
      <c r="D87" s="232" t="s">
        <v>246</v>
      </c>
      <c r="E87" t="s">
        <v>7</v>
      </c>
    </row>
    <row r="88" spans="2:5" ht="15" customHeight="1">
      <c r="B88" s="225"/>
      <c r="C88" s="225" t="s">
        <v>7</v>
      </c>
      <c r="D88" s="232" t="s">
        <v>247</v>
      </c>
      <c r="E88" t="s">
        <v>7</v>
      </c>
    </row>
    <row r="89" spans="2:5" ht="15" customHeight="1">
      <c r="B89" s="225"/>
      <c r="C89" s="225"/>
      <c r="D89" s="232" t="s">
        <v>248</v>
      </c>
      <c r="E89" t="s">
        <v>7</v>
      </c>
    </row>
    <row r="90" spans="2:5" ht="15" customHeight="1">
      <c r="B90" s="225"/>
      <c r="C90" s="225"/>
      <c r="D90" s="232" t="s">
        <v>249</v>
      </c>
      <c r="E90" t="s">
        <v>7</v>
      </c>
    </row>
    <row r="91" spans="2:5" ht="15" customHeight="1">
      <c r="B91" s="225"/>
      <c r="C91" s="225"/>
      <c r="D91" s="232" t="s">
        <v>250</v>
      </c>
      <c r="E91" t="s">
        <v>7</v>
      </c>
    </row>
    <row r="92" spans="2:5" ht="15" customHeight="1">
      <c r="B92" s="225"/>
      <c r="C92" s="225"/>
      <c r="D92" s="240" t="s">
        <v>251</v>
      </c>
      <c r="E92" t="s">
        <v>7</v>
      </c>
    </row>
    <row r="93" spans="2:5" ht="15" customHeight="1">
      <c r="B93" s="225"/>
      <c r="C93" s="225"/>
      <c r="D93" s="232" t="s">
        <v>252</v>
      </c>
      <c r="E93" t="s">
        <v>7</v>
      </c>
    </row>
    <row r="94" spans="2:5" ht="15" customHeight="1">
      <c r="B94" s="225"/>
      <c r="C94" s="225"/>
      <c r="D94" s="240" t="s">
        <v>253</v>
      </c>
      <c r="E94" t="s">
        <v>7</v>
      </c>
    </row>
    <row r="95" spans="2:5" ht="15" customHeight="1">
      <c r="B95" s="225"/>
      <c r="C95" s="225"/>
      <c r="D95" s="240" t="s">
        <v>254</v>
      </c>
      <c r="E95" t="s">
        <v>7</v>
      </c>
    </row>
    <row r="96" spans="2:5" ht="15" customHeight="1">
      <c r="B96" s="225"/>
      <c r="C96" s="225"/>
      <c r="D96" s="259" t="s">
        <v>315</v>
      </c>
      <c r="E96" t="s">
        <v>7</v>
      </c>
    </row>
    <row r="97" spans="2:5" ht="15" customHeight="1">
      <c r="B97" s="225"/>
      <c r="C97" s="225"/>
      <c r="D97" s="241" t="s">
        <v>316</v>
      </c>
      <c r="E97" t="s">
        <v>7</v>
      </c>
    </row>
    <row r="98" spans="2:5" ht="15" customHeight="1">
      <c r="B98" s="225"/>
      <c r="C98" s="225"/>
      <c r="D98" s="241" t="s">
        <v>317</v>
      </c>
      <c r="E98" t="s">
        <v>7</v>
      </c>
    </row>
    <row r="99" spans="2:5" ht="15" customHeight="1">
      <c r="B99" s="225"/>
      <c r="C99" s="225"/>
      <c r="D99" s="260" t="s">
        <v>294</v>
      </c>
      <c r="E99" t="s">
        <v>7</v>
      </c>
    </row>
    <row r="100" spans="2:5" ht="15" customHeight="1">
      <c r="B100" s="225"/>
      <c r="C100" s="225"/>
      <c r="D100" s="241" t="s">
        <v>295</v>
      </c>
      <c r="E100" t="s">
        <v>7</v>
      </c>
    </row>
    <row r="101" spans="2:5" ht="15" customHeight="1">
      <c r="B101" s="225"/>
      <c r="C101" s="225"/>
      <c r="D101" s="242" t="s">
        <v>296</v>
      </c>
      <c r="E101" t="s">
        <v>7</v>
      </c>
    </row>
    <row r="102" spans="2:5" ht="15" customHeight="1">
      <c r="B102" s="225"/>
      <c r="C102" s="225"/>
      <c r="D102" s="242" t="s">
        <v>297</v>
      </c>
      <c r="E102" t="s">
        <v>7</v>
      </c>
    </row>
    <row r="103" spans="2:5" ht="15" customHeight="1">
      <c r="B103" s="225"/>
      <c r="C103" s="225"/>
      <c r="D103" s="242" t="s">
        <v>298</v>
      </c>
      <c r="E103" t="s">
        <v>7</v>
      </c>
    </row>
    <row r="104" spans="2:5" ht="15" customHeight="1">
      <c r="B104" s="225"/>
      <c r="C104" s="225"/>
      <c r="D104" s="242" t="s">
        <v>124</v>
      </c>
      <c r="E104" t="s">
        <v>7</v>
      </c>
    </row>
    <row r="105" spans="2:5" ht="15" customHeight="1">
      <c r="B105" s="225"/>
      <c r="C105" s="225"/>
      <c r="D105" s="259" t="s">
        <v>321</v>
      </c>
      <c r="E105" t="s">
        <v>7</v>
      </c>
    </row>
    <row r="106" spans="2:5" ht="15" customHeight="1">
      <c r="B106" s="225"/>
      <c r="C106" s="225"/>
      <c r="D106" s="242" t="s">
        <v>318</v>
      </c>
      <c r="E106" t="s">
        <v>7</v>
      </c>
    </row>
    <row r="107" spans="2:5" ht="15" customHeight="1">
      <c r="B107" s="225"/>
      <c r="C107" s="225"/>
      <c r="D107" s="242" t="s">
        <v>319</v>
      </c>
      <c r="E107" t="s">
        <v>7</v>
      </c>
    </row>
    <row r="108" spans="2:5" ht="15" customHeight="1">
      <c r="B108" s="225"/>
      <c r="C108" s="225"/>
      <c r="D108" s="242" t="s">
        <v>320</v>
      </c>
      <c r="E108" t="s">
        <v>7</v>
      </c>
    </row>
    <row r="109" spans="2:5" ht="15" customHeight="1">
      <c r="B109" s="225"/>
      <c r="C109" s="225"/>
      <c r="D109" s="261" t="s">
        <v>322</v>
      </c>
      <c r="E109" t="s">
        <v>7</v>
      </c>
    </row>
    <row r="110" spans="2:5" ht="15" customHeight="1">
      <c r="B110" s="225"/>
      <c r="C110" s="225"/>
      <c r="D110" s="243" t="s">
        <v>323</v>
      </c>
      <c r="E110" t="s">
        <v>7</v>
      </c>
    </row>
    <row r="111" spans="2:5" ht="15" customHeight="1">
      <c r="B111" s="225"/>
      <c r="C111" s="225"/>
      <c r="D111" s="243" t="s">
        <v>324</v>
      </c>
      <c r="E111" t="s">
        <v>7</v>
      </c>
    </row>
    <row r="112" spans="2:5" ht="15" customHeight="1">
      <c r="B112" s="225"/>
      <c r="C112" s="225"/>
      <c r="D112" s="243" t="s">
        <v>325</v>
      </c>
      <c r="E112" t="s">
        <v>7</v>
      </c>
    </row>
    <row r="113" spans="2:5" ht="15" customHeight="1">
      <c r="B113" s="225"/>
      <c r="C113" s="225"/>
      <c r="D113" s="243" t="s">
        <v>326</v>
      </c>
      <c r="E113" t="s">
        <v>7</v>
      </c>
    </row>
    <row r="114" spans="2:5" ht="15" customHeight="1">
      <c r="B114" s="225"/>
      <c r="C114" s="225"/>
      <c r="D114" s="243" t="s">
        <v>327</v>
      </c>
      <c r="E114" t="s">
        <v>7</v>
      </c>
    </row>
    <row r="115" spans="2:5" ht="15" customHeight="1">
      <c r="B115" s="225"/>
      <c r="C115" s="225"/>
      <c r="D115" s="243" t="s">
        <v>328</v>
      </c>
      <c r="E115" t="s">
        <v>7</v>
      </c>
    </row>
    <row r="116" spans="2:5" ht="15" customHeight="1">
      <c r="B116" s="225"/>
      <c r="C116" s="225"/>
      <c r="D116" s="243" t="s">
        <v>329</v>
      </c>
      <c r="E116" t="s">
        <v>7</v>
      </c>
    </row>
    <row r="117" spans="2:5" ht="15" customHeight="1">
      <c r="B117" s="225"/>
      <c r="C117" s="225"/>
      <c r="D117" s="243" t="s">
        <v>330</v>
      </c>
      <c r="E117" t="s">
        <v>7</v>
      </c>
    </row>
    <row r="118" spans="2:5" ht="15" customHeight="1">
      <c r="B118" s="225"/>
      <c r="C118" s="225"/>
      <c r="D118" s="243" t="s">
        <v>331</v>
      </c>
      <c r="E118" t="s">
        <v>7</v>
      </c>
    </row>
    <row r="119" spans="2:5" ht="15" customHeight="1">
      <c r="B119" s="225"/>
      <c r="C119" s="225"/>
      <c r="D119" s="263" t="s">
        <v>338</v>
      </c>
      <c r="E119" t="s">
        <v>7</v>
      </c>
    </row>
    <row r="120" spans="2:5" ht="15" customHeight="1">
      <c r="B120" s="225"/>
      <c r="C120" s="225"/>
      <c r="D120" s="243" t="s">
        <v>339</v>
      </c>
      <c r="E120" t="s">
        <v>7</v>
      </c>
    </row>
    <row r="121" spans="2:5" ht="15" customHeight="1">
      <c r="B121" s="225"/>
      <c r="C121" s="225"/>
      <c r="D121" s="243" t="s">
        <v>340</v>
      </c>
      <c r="E121" t="s">
        <v>7</v>
      </c>
    </row>
    <row r="122" spans="2:5" ht="15" customHeight="1">
      <c r="B122" s="225"/>
      <c r="C122" s="225"/>
      <c r="D122" s="243" t="s">
        <v>341</v>
      </c>
      <c r="E122" t="s">
        <v>7</v>
      </c>
    </row>
    <row r="123" spans="2:5" ht="15" customHeight="1">
      <c r="B123" s="225"/>
      <c r="C123" s="225"/>
      <c r="D123" s="243" t="s">
        <v>342</v>
      </c>
      <c r="E123" t="s">
        <v>7</v>
      </c>
    </row>
    <row r="124" spans="2:5" ht="15" customHeight="1">
      <c r="B124" s="225"/>
      <c r="C124" s="225"/>
      <c r="D124" s="243" t="s">
        <v>332</v>
      </c>
      <c r="E124" t="s">
        <v>7</v>
      </c>
    </row>
    <row r="125" spans="2:5" ht="15" customHeight="1">
      <c r="B125" s="225"/>
      <c r="C125" s="225"/>
      <c r="D125" s="243" t="s">
        <v>333</v>
      </c>
      <c r="E125" t="s">
        <v>7</v>
      </c>
    </row>
    <row r="126" spans="2:5" ht="15" customHeight="1">
      <c r="B126" s="225"/>
      <c r="C126" s="225"/>
      <c r="D126" s="243" t="s">
        <v>334</v>
      </c>
      <c r="E126" t="s">
        <v>7</v>
      </c>
    </row>
    <row r="127" spans="2:5" ht="15" customHeight="1">
      <c r="B127" s="225"/>
      <c r="C127" s="225"/>
      <c r="D127" s="243" t="s">
        <v>335</v>
      </c>
      <c r="E127" t="s">
        <v>7</v>
      </c>
    </row>
    <row r="128" spans="2:5" ht="15" customHeight="1">
      <c r="B128" s="225"/>
      <c r="C128" s="225"/>
      <c r="D128" s="233" t="s">
        <v>336</v>
      </c>
      <c r="E128" t="s">
        <v>7</v>
      </c>
    </row>
    <row r="129" spans="2:5" ht="15" customHeight="1">
      <c r="B129" s="225"/>
      <c r="C129" s="225"/>
      <c r="D129" s="313" t="s">
        <v>403</v>
      </c>
      <c r="E129" t="s">
        <v>7</v>
      </c>
    </row>
    <row r="130" spans="2:5" ht="15" customHeight="1">
      <c r="B130" s="225"/>
      <c r="C130" s="225"/>
      <c r="D130" s="313" t="s">
        <v>404</v>
      </c>
      <c r="E130" t="s">
        <v>7</v>
      </c>
    </row>
    <row r="131" spans="2:5" ht="15" customHeight="1">
      <c r="B131" s="225"/>
      <c r="C131" s="225"/>
      <c r="D131" s="313" t="s">
        <v>405</v>
      </c>
      <c r="E131" t="s">
        <v>7</v>
      </c>
    </row>
    <row r="132" spans="2:5" ht="15" customHeight="1">
      <c r="D132" s="313" t="s">
        <v>406</v>
      </c>
      <c r="E132" t="s">
        <v>7</v>
      </c>
    </row>
    <row r="133" spans="2:5" ht="15" customHeight="1">
      <c r="D133" s="313" t="s">
        <v>407</v>
      </c>
      <c r="E133" t="s">
        <v>7</v>
      </c>
    </row>
    <row r="134" spans="2:5" ht="15" customHeight="1">
      <c r="D134" s="313" t="s">
        <v>408</v>
      </c>
      <c r="E134" t="s">
        <v>7</v>
      </c>
    </row>
    <row r="135" spans="2:5" ht="15" customHeight="1">
      <c r="D135" s="313" t="s">
        <v>409</v>
      </c>
      <c r="E135" t="s">
        <v>7</v>
      </c>
    </row>
    <row r="136" spans="2:5" ht="15" customHeight="1">
      <c r="D136" s="313" t="s">
        <v>410</v>
      </c>
      <c r="E136" t="s">
        <v>7</v>
      </c>
    </row>
    <row r="137" spans="2:5" ht="15" customHeight="1">
      <c r="D137" s="262" t="s">
        <v>337</v>
      </c>
      <c r="E137" t="s">
        <v>7</v>
      </c>
    </row>
    <row r="138" spans="2:5" ht="15" customHeight="1">
      <c r="E138" t="s">
        <v>7</v>
      </c>
    </row>
    <row r="139" spans="2:5" ht="15" customHeight="1">
      <c r="E139" t="s">
        <v>7</v>
      </c>
    </row>
    <row r="140" spans="2:5" ht="15" customHeight="1">
      <c r="E140" t="s">
        <v>7</v>
      </c>
    </row>
  </sheetData>
  <mergeCells count="1">
    <mergeCell ref="O4:P4"/>
  </mergeCells>
  <hyperlinks>
    <hyperlink ref="D36" r:id="rId1" tooltip="Code du travail - art. L3132-24 (Ab)" display="https://www.legifrance.gouv.fr/affichCodeArticle.do?cidTexte=LEGITEXT000006072050&amp;idArticle=LEGIARTI000006902603&amp;dateTexte=&amp;categorieLien=cid"/>
    <hyperlink ref="D48" r:id="rId2" tooltip="Décret n°2006-595 du 23 mai 2006 (V)" display="https://www.legifrance.gouv.fr/affichTexte.do?cidTexte=JORFTEXT000000607662&amp;categorieLien=cid"/>
  </hyperlinks>
  <pageMargins left="0.7" right="0.7" top="0.75" bottom="0.75" header="0.3" footer="0.3"/>
  <pageSetup paperSize="9" orientation="portrait" horizontalDpi="1200" verticalDpi="120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Mon Entreprise</vt:lpstr>
      <vt:lpstr>Mes Aides</vt:lpstr>
      <vt:lpstr>Explication des Calculs</vt:lpstr>
      <vt:lpstr>Aides Compl "coûts fixes"</vt:lpstr>
      <vt:lpstr>Annexes</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2021-05-07T09:57:46Z</dcterms:modified>
</cp:coreProperties>
</file>